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chisma\Desktop\"/>
    </mc:Choice>
  </mc:AlternateContent>
  <bookViews>
    <workbookView xWindow="0" yWindow="0" windowWidth="19200" windowHeight="11310"/>
  </bookViews>
  <sheets>
    <sheet name="rpt_paid_vendor" sheetId="1" r:id="rId1"/>
  </sheets>
  <calcPr calcId="171027" calcOnSave="0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</calcChain>
</file>

<file path=xl/sharedStrings.xml><?xml version="1.0" encoding="utf-8"?>
<sst xmlns="http://schemas.openxmlformats.org/spreadsheetml/2006/main" count="10522" uniqueCount="7231">
  <si>
    <t>BannerID</t>
  </si>
  <si>
    <t>LastName</t>
  </si>
  <si>
    <t xml:space="preserve">FirstName </t>
  </si>
  <si>
    <t xml:space="preserve">Stname1 </t>
  </si>
  <si>
    <t xml:space="preserve">Stname2 </t>
  </si>
  <si>
    <t>Stname3</t>
  </si>
  <si>
    <t xml:space="preserve"> City </t>
  </si>
  <si>
    <t>State</t>
  </si>
  <si>
    <t xml:space="preserve">Zip                                                                                                                                 </t>
  </si>
  <si>
    <t>Annual Reviews</t>
  </si>
  <si>
    <t>Dept 33729</t>
  </si>
  <si>
    <t>PO Box 39000</t>
  </si>
  <si>
    <t>San Francisco</t>
  </si>
  <si>
    <t>CA</t>
  </si>
  <si>
    <t xml:space="preserve">94139-0001                                                                                                       </t>
  </si>
  <si>
    <t>Experian Information Solutions Inc</t>
  </si>
  <si>
    <t>PO Box 881971</t>
  </si>
  <si>
    <t>Los Angeles</t>
  </si>
  <si>
    <t xml:space="preserve">90088-1971                                                                                              </t>
  </si>
  <si>
    <t>Recognition Products International</t>
  </si>
  <si>
    <t>8706 Commerce Dr Ste 6</t>
  </si>
  <si>
    <t>PO Box 361</t>
  </si>
  <si>
    <t>Easton</t>
  </si>
  <si>
    <t>MD</t>
  </si>
  <si>
    <t xml:space="preserve">21601-8904                                                                                </t>
  </si>
  <si>
    <t>Lake Williamson Christian Center</t>
  </si>
  <si>
    <t>17280 Lakeside Dr</t>
  </si>
  <si>
    <t>Carlinville</t>
  </si>
  <si>
    <t>IL</t>
  </si>
  <si>
    <t xml:space="preserve">62626-2539                                                                                            </t>
  </si>
  <si>
    <t>University of Dayton</t>
  </si>
  <si>
    <t>University of Dayton Arena</t>
  </si>
  <si>
    <t>1801 S Edwin C Moses Blvd</t>
  </si>
  <si>
    <t>Dayton</t>
  </si>
  <si>
    <t>OH</t>
  </si>
  <si>
    <t xml:space="preserve">45417-4666                                                                           </t>
  </si>
  <si>
    <t>Missouri Council of School Administrators</t>
  </si>
  <si>
    <t>3550 Amazonas Dr</t>
  </si>
  <si>
    <t>Jefferson City</t>
  </si>
  <si>
    <t>MO</t>
  </si>
  <si>
    <t xml:space="preserve">65109-5716                                                                                 </t>
  </si>
  <si>
    <t>NewsBank Inc</t>
  </si>
  <si>
    <t>Readex</t>
  </si>
  <si>
    <t>PO Box 1130</t>
  </si>
  <si>
    <t>397 Main St</t>
  </si>
  <si>
    <t>Chester</t>
  </si>
  <si>
    <t>VT</t>
  </si>
  <si>
    <t xml:space="preserve">05143-9864                                                                                                         </t>
  </si>
  <si>
    <t>Commission on Accreditation of Allied Hlth Edu Programs</t>
  </si>
  <si>
    <t>25400 US Highway 19 N Ste 158</t>
  </si>
  <si>
    <t>Clearwater</t>
  </si>
  <si>
    <t>FL</t>
  </si>
  <si>
    <t xml:space="preserve">33763-2150                                                          </t>
  </si>
  <si>
    <t>Clarivate Analytics US LLC</t>
  </si>
  <si>
    <t>Payment Center</t>
  </si>
  <si>
    <t>PO Box 6292</t>
  </si>
  <si>
    <t>Carol Stream</t>
  </si>
  <si>
    <t xml:space="preserve">60197-6292                                                                                         </t>
  </si>
  <si>
    <t>Ellucian Support Inc</t>
  </si>
  <si>
    <t>62578 Collection Center Dr</t>
  </si>
  <si>
    <t>Chicago</t>
  </si>
  <si>
    <t xml:space="preserve">60693-0625                                                                                                   </t>
  </si>
  <si>
    <t>US Department of Justice</t>
  </si>
  <si>
    <t>111 S 10th St Ste 20.333</t>
  </si>
  <si>
    <t>Saint Louis</t>
  </si>
  <si>
    <t xml:space="preserve">63102-1127                                                                                             </t>
  </si>
  <si>
    <t>American Academy Holdings LLC</t>
  </si>
  <si>
    <t>Aapc</t>
  </si>
  <si>
    <t>PO Box 35199</t>
  </si>
  <si>
    <t>Seattle</t>
  </si>
  <si>
    <t>WA</t>
  </si>
  <si>
    <t xml:space="preserve">98124-5199                                                                                                    </t>
  </si>
  <si>
    <t>Philosophy Documentation Center</t>
  </si>
  <si>
    <t>PO Box 7147</t>
  </si>
  <si>
    <t>Charlottesville</t>
  </si>
  <si>
    <t>VA</t>
  </si>
  <si>
    <t xml:space="preserve">22906-7147                                                                                               </t>
  </si>
  <si>
    <t>Florida Agriculture and Mechanical University</t>
  </si>
  <si>
    <t>PO Box 864485</t>
  </si>
  <si>
    <t>Orlando</t>
  </si>
  <si>
    <t xml:space="preserve">32886-4485                                                                                       </t>
  </si>
  <si>
    <t>People Admin Inc</t>
  </si>
  <si>
    <t>PO Box 205748</t>
  </si>
  <si>
    <t>Dallas</t>
  </si>
  <si>
    <t>TX</t>
  </si>
  <si>
    <t xml:space="preserve">75320-5748                                                                                                                     </t>
  </si>
  <si>
    <t>Kansas City University of Medicine and Biosciences</t>
  </si>
  <si>
    <t>DOCARE</t>
  </si>
  <si>
    <t>Attn: Gwen Dodd</t>
  </si>
  <si>
    <t>1750 Independence Ave</t>
  </si>
  <si>
    <t>Kansas City</t>
  </si>
  <si>
    <t>Pacific Northwest Assn for College Admission Counseling</t>
  </si>
  <si>
    <t>PO Box 12474</t>
  </si>
  <si>
    <t>Mill Creek</t>
  </si>
  <si>
    <t xml:space="preserve">98082-0474                                                                           </t>
  </si>
  <si>
    <t>University Corporation for Atmospheric Research</t>
  </si>
  <si>
    <t>National Center For Atmospheric Research</t>
  </si>
  <si>
    <t>National Center For</t>
  </si>
  <si>
    <t>PO Box 3000</t>
  </si>
  <si>
    <t>Boulder</t>
  </si>
  <si>
    <t>CO</t>
  </si>
  <si>
    <t xml:space="preserve">80307-3000                            </t>
  </si>
  <si>
    <t>Benefit Administrative Systems LLC</t>
  </si>
  <si>
    <t>17475 Jovanna Dr Ste 1B</t>
  </si>
  <si>
    <t>Homewood</t>
  </si>
  <si>
    <t xml:space="preserve">60430-1065                                                                                       </t>
  </si>
  <si>
    <t>St. Louis Area Society of Plastic Surgeo</t>
  </si>
  <si>
    <t>621 S New Ballas Rd Ste 1009B</t>
  </si>
  <si>
    <t xml:space="preserve">63141-8264                                                                        </t>
  </si>
  <si>
    <t>Center For Emerging Technologies</t>
  </si>
  <si>
    <t>Lopata Fiegel And Company LLC</t>
  </si>
  <si>
    <t>600 Mason Ridge Center Dr</t>
  </si>
  <si>
    <t>Ste 100</t>
  </si>
  <si>
    <t xml:space="preserve">63141-8572                                                </t>
  </si>
  <si>
    <t>The Leukemia &amp; Lymphoma Society</t>
  </si>
  <si>
    <t>1972 Innerbelt Business Center</t>
  </si>
  <si>
    <t xml:space="preserve">63114-5723                                                                                </t>
  </si>
  <si>
    <t>Accreditation Review Commission on Education for PA</t>
  </si>
  <si>
    <t>12000 Findley Rd Ste 275</t>
  </si>
  <si>
    <t>Johns Creek</t>
  </si>
  <si>
    <t>GA</t>
  </si>
  <si>
    <t xml:space="preserve">30097-1412                                                                  </t>
  </si>
  <si>
    <t>Gray Ritter and Graham PC</t>
  </si>
  <si>
    <t>701 Market St Ste 800</t>
  </si>
  <si>
    <t xml:space="preserve">63101-1826                                                                                               </t>
  </si>
  <si>
    <t>Concordia Publishing House</t>
  </si>
  <si>
    <t>PO Box 501228</t>
  </si>
  <si>
    <t xml:space="preserve">63150-1228                                                                                                      </t>
  </si>
  <si>
    <t>Elsevier BV</t>
  </si>
  <si>
    <t>PO Box 7247-7682</t>
  </si>
  <si>
    <t>Philadelphia</t>
  </si>
  <si>
    <t>PA</t>
  </si>
  <si>
    <t xml:space="preserve">19170-0001                                                                                                                 </t>
  </si>
  <si>
    <t>Protestant Memorial Medical Center Inc</t>
  </si>
  <si>
    <t>Memorial Hospital Outpatient</t>
  </si>
  <si>
    <t>PO Box 23860</t>
  </si>
  <si>
    <t>Belleville</t>
  </si>
  <si>
    <t xml:space="preserve">62223-0860                                                                </t>
  </si>
  <si>
    <t>Mercy Hospital South</t>
  </si>
  <si>
    <t>Attn Larry Clark</t>
  </si>
  <si>
    <t>10016 Kennerly Rd</t>
  </si>
  <si>
    <t xml:space="preserve">63128-2106                                                                                        </t>
  </si>
  <si>
    <t>Lewis Rice LLC</t>
  </si>
  <si>
    <t>600 Washington Ave Ste 2500</t>
  </si>
  <si>
    <t xml:space="preserve">63101-1311                                                                                                    </t>
  </si>
  <si>
    <t>White House Retreat Center</t>
  </si>
  <si>
    <t>7400 Christopher Dr</t>
  </si>
  <si>
    <t xml:space="preserve">63129-5799                                                                                                </t>
  </si>
  <si>
    <t>Windham Professionals</t>
  </si>
  <si>
    <t>Attn: Wage Withholding Unit</t>
  </si>
  <si>
    <t>380 Main St</t>
  </si>
  <si>
    <t>Salem</t>
  </si>
  <si>
    <t>NH</t>
  </si>
  <si>
    <t xml:space="preserve">03079-2412                                                                                        </t>
  </si>
  <si>
    <t>Kaiser Permanente</t>
  </si>
  <si>
    <t>Recovery Ncal</t>
  </si>
  <si>
    <t>PO Box 742120</t>
  </si>
  <si>
    <t xml:space="preserve">90074-0001                                                                                                  </t>
  </si>
  <si>
    <t>Laboratory Corporation of America</t>
  </si>
  <si>
    <t>PO Box 2280</t>
  </si>
  <si>
    <t>Burlington</t>
  </si>
  <si>
    <t>NC</t>
  </si>
  <si>
    <t xml:space="preserve">27216-2280                                                                                                  </t>
  </si>
  <si>
    <t>American Council on Education</t>
  </si>
  <si>
    <t>PO Box 418762</t>
  </si>
  <si>
    <t>Boston</t>
  </si>
  <si>
    <t>MA</t>
  </si>
  <si>
    <t xml:space="preserve">02241-8762                                                                                                        </t>
  </si>
  <si>
    <t>Association of American Law Schools</t>
  </si>
  <si>
    <t>1614 20th St NW</t>
  </si>
  <si>
    <t>Washington</t>
  </si>
  <si>
    <t>DC</t>
  </si>
  <si>
    <t xml:space="preserve">20009-1001                                                                                            </t>
  </si>
  <si>
    <t>American Public Health Association</t>
  </si>
  <si>
    <t>C/O J Spargo And Associates</t>
  </si>
  <si>
    <t>11208 Waples Mill Rd Ste 112</t>
  </si>
  <si>
    <t>Fairfax</t>
  </si>
  <si>
    <t xml:space="preserve">22030-6077                                                        </t>
  </si>
  <si>
    <t>Great Lakes Orthodontics Ltd</t>
  </si>
  <si>
    <t>PO Box 5111</t>
  </si>
  <si>
    <t>200 Cooper Ave</t>
  </si>
  <si>
    <t>Tonawanda</t>
  </si>
  <si>
    <t>NY</t>
  </si>
  <si>
    <t xml:space="preserve">14150-6607                                                                                          </t>
  </si>
  <si>
    <t>St Louis Post-Dispatch LLC</t>
  </si>
  <si>
    <t>STLToday.com</t>
  </si>
  <si>
    <t>201 N Harrison St Ste 600</t>
  </si>
  <si>
    <t>Davenport</t>
  </si>
  <si>
    <t>IA</t>
  </si>
  <si>
    <t xml:space="preserve">52801-1918                                                                                </t>
  </si>
  <si>
    <t>Casalini Libri</t>
  </si>
  <si>
    <t>Via Benedetto Da Maiano 3</t>
  </si>
  <si>
    <t>Fiesole</t>
  </si>
  <si>
    <t>National Council of University Research Adm</t>
  </si>
  <si>
    <t>Ncura Region IV Treasurer Shannon Sutton</t>
  </si>
  <si>
    <t>Ncura Region IV Treasurer</t>
  </si>
  <si>
    <t>1 University Cir</t>
  </si>
  <si>
    <t>Macomb</t>
  </si>
  <si>
    <t xml:space="preserve">61455-1367                      </t>
  </si>
  <si>
    <t>Swank Motion Pictures Inc</t>
  </si>
  <si>
    <t>2844 Paysphere Cir</t>
  </si>
  <si>
    <t xml:space="preserve">60674-0028                                                                                                      </t>
  </si>
  <si>
    <t>Dinan Real Estate Advisors Inc</t>
  </si>
  <si>
    <t>PO Box 31141</t>
  </si>
  <si>
    <t xml:space="preserve">63131-0141                                                                                                   </t>
  </si>
  <si>
    <t>Rockhurst University</t>
  </si>
  <si>
    <t>Office Of Admission</t>
  </si>
  <si>
    <t>Massman Hl Rm 225</t>
  </si>
  <si>
    <t>American Program Bureau Inc</t>
  </si>
  <si>
    <t>1 Gateway Ctr Ste 751</t>
  </si>
  <si>
    <t>Newton</t>
  </si>
  <si>
    <t xml:space="preserve">02458-2817                                                                                                  </t>
  </si>
  <si>
    <t>DLT Solutions LLC</t>
  </si>
  <si>
    <t>PO Box 743359</t>
  </si>
  <si>
    <t>Atlanta</t>
  </si>
  <si>
    <t xml:space="preserve">30374-3359                                                                                                                   </t>
  </si>
  <si>
    <t>Regents of the University of Michigan</t>
  </si>
  <si>
    <t>National Intergroup Dialogue Institute</t>
  </si>
  <si>
    <t>National Intergroup Dialogue</t>
  </si>
  <si>
    <t>1000 McIntyre St</t>
  </si>
  <si>
    <t>Ann Arbor</t>
  </si>
  <si>
    <t>MI</t>
  </si>
  <si>
    <t xml:space="preserve">48105-2464                        </t>
  </si>
  <si>
    <t>University of Chicago</t>
  </si>
  <si>
    <t>Argonne National Laboratory</t>
  </si>
  <si>
    <t>9700 S Cass Ave Bldg 446</t>
  </si>
  <si>
    <t>Lemont</t>
  </si>
  <si>
    <t xml:space="preserve">60439-4803                                                                          </t>
  </si>
  <si>
    <t>Council for Opportunity in Education</t>
  </si>
  <si>
    <t>PO Box 742282</t>
  </si>
  <si>
    <t xml:space="preserve">30374-2282                                                                                                </t>
  </si>
  <si>
    <t>Mercy Hospitals East Communities</t>
  </si>
  <si>
    <t>St Louis Medical Staff Funds</t>
  </si>
  <si>
    <t>621 S New Ballas Rd Ste 7006B</t>
  </si>
  <si>
    <t xml:space="preserve">63141-8275                                                    </t>
  </si>
  <si>
    <t>American Bar Association</t>
  </si>
  <si>
    <t>Attn: Selina Thomas</t>
  </si>
  <si>
    <t>321 N Clark St Fl 17</t>
  </si>
  <si>
    <t xml:space="preserve">60654-4740                                                                                  </t>
  </si>
  <si>
    <t>CBS Radio Stations Inc</t>
  </si>
  <si>
    <t>WSOC WKQC WNKS WFNZ WBCN WBAV WPEG</t>
  </si>
  <si>
    <t>PO Box 905664</t>
  </si>
  <si>
    <t>Charlotte</t>
  </si>
  <si>
    <t xml:space="preserve">28290-0001                                                                          </t>
  </si>
  <si>
    <t>Cadmus Journal Services</t>
  </si>
  <si>
    <t>A Cenveo Company Publishers</t>
  </si>
  <si>
    <t>PO Box 822942</t>
  </si>
  <si>
    <t xml:space="preserve">19182-0001                                                                             </t>
  </si>
  <si>
    <t>AT&amp;T Corp</t>
  </si>
  <si>
    <t>PO Box 5014</t>
  </si>
  <si>
    <t xml:space="preserve">60197-5014                                                                                                                        </t>
  </si>
  <si>
    <t>Medical Group Management Association</t>
  </si>
  <si>
    <t>4319 S National Ave Ste 319</t>
  </si>
  <si>
    <t>Springfield</t>
  </si>
  <si>
    <t xml:space="preserve">65810-2607                                                                              </t>
  </si>
  <si>
    <t>Missouri Dental Association</t>
  </si>
  <si>
    <t>3340 American Ave Ste B</t>
  </si>
  <si>
    <t xml:space="preserve">65109-1088                                                                                        </t>
  </si>
  <si>
    <t>University of Tennessee</t>
  </si>
  <si>
    <t>Phi Alpha Delta Law Fraternity</t>
  </si>
  <si>
    <t>312 Ayers Hall</t>
  </si>
  <si>
    <t>1403 Circle Dr</t>
  </si>
  <si>
    <t>Knoxville</t>
  </si>
  <si>
    <t>TN</t>
  </si>
  <si>
    <t xml:space="preserve">37996-0001                                                              </t>
  </si>
  <si>
    <t>Missouri Health &amp; Educational Facilities Authority</t>
  </si>
  <si>
    <t>15450 S Outer 40 Rd Ste 230</t>
  </si>
  <si>
    <t>Chesterfield</t>
  </si>
  <si>
    <t xml:space="preserve">63017-2062                                                               </t>
  </si>
  <si>
    <t>St. Louis Series of Lockton Companies LLC</t>
  </si>
  <si>
    <t>C/O Bank Of America</t>
  </si>
  <si>
    <t>PO Box 505115</t>
  </si>
  <si>
    <t xml:space="preserve">63150-0001                                                                    </t>
  </si>
  <si>
    <t>American Board of Medicolegal Death Investigators</t>
  </si>
  <si>
    <t>900 W Baltimore St</t>
  </si>
  <si>
    <t>Baltimore</t>
  </si>
  <si>
    <t xml:space="preserve">21223-2595                                                                            </t>
  </si>
  <si>
    <t>Saint Louis Counseling Inc</t>
  </si>
  <si>
    <t>School Partnership Progarm</t>
  </si>
  <si>
    <t>9200 Watson Rd Ste G101</t>
  </si>
  <si>
    <t xml:space="preserve">63126-1528                                                                  </t>
  </si>
  <si>
    <t>ICS Construction Services Ltd</t>
  </si>
  <si>
    <t>2930 Market St</t>
  </si>
  <si>
    <t xml:space="preserve">63103-2525                                                                                                  </t>
  </si>
  <si>
    <t>Sage Publications Inc</t>
  </si>
  <si>
    <t>PO Box 5096</t>
  </si>
  <si>
    <t>Thousand Oaks</t>
  </si>
  <si>
    <t xml:space="preserve">91359-5096                                                                                                           </t>
  </si>
  <si>
    <t>Association for Computing Machinery</t>
  </si>
  <si>
    <t>Acm Career And Job Center</t>
  </si>
  <si>
    <t>PO Box 30777</t>
  </si>
  <si>
    <t>New York</t>
  </si>
  <si>
    <t xml:space="preserve">10087-0001                                                                        </t>
  </si>
  <si>
    <t>American Clinical Neurophysiology Society</t>
  </si>
  <si>
    <t>555 E Wells St Ste 1100</t>
  </si>
  <si>
    <t>Milwaukee</t>
  </si>
  <si>
    <t>WI</t>
  </si>
  <si>
    <t xml:space="preserve">53202-3800                                                                               </t>
  </si>
  <si>
    <t>City of Kansas City Missouri</t>
  </si>
  <si>
    <t>Revenue Division Kcmo City</t>
  </si>
  <si>
    <t>PO Box 842875</t>
  </si>
  <si>
    <t xml:space="preserve">64184-0001                                                                          </t>
  </si>
  <si>
    <t>Alaska Bar Association</t>
  </si>
  <si>
    <t>PO Box 100279</t>
  </si>
  <si>
    <t>Anchorage</t>
  </si>
  <si>
    <t>AK</t>
  </si>
  <si>
    <t xml:space="preserve">99510-0279                                                                                                            </t>
  </si>
  <si>
    <t>Innovative Interfaces Inc</t>
  </si>
  <si>
    <t>5850 Shellmound St</t>
  </si>
  <si>
    <t>Emeryville</t>
  </si>
  <si>
    <t xml:space="preserve">94608-1966                                                                                                   </t>
  </si>
  <si>
    <t>Big Brothers Big Sisters of Eastern Missouri</t>
  </si>
  <si>
    <t>501 N Grand Blvd Ste 100</t>
  </si>
  <si>
    <t xml:space="preserve">63103-1006                                                                         </t>
  </si>
  <si>
    <t>Helling Pittroff and Associates LLC</t>
  </si>
  <si>
    <t>2464 Taylor Rd Apt 230</t>
  </si>
  <si>
    <t>Wildwood</t>
  </si>
  <si>
    <t xml:space="preserve">63040-1222                                                                                       </t>
  </si>
  <si>
    <t>One License.net</t>
  </si>
  <si>
    <t>7343 S Mason Ave</t>
  </si>
  <si>
    <t xml:space="preserve">60638-6274                                                                                                                  </t>
  </si>
  <si>
    <t>Anthem Blue Cross Blue Shield</t>
  </si>
  <si>
    <t>PO Box 659940</t>
  </si>
  <si>
    <t>San Antonio</t>
  </si>
  <si>
    <t xml:space="preserve">78265-9138                                                                                                   </t>
  </si>
  <si>
    <t>Grolier Club of the City of New York</t>
  </si>
  <si>
    <t>47 E 60th St</t>
  </si>
  <si>
    <t xml:space="preserve">10022-1098                                                                                                </t>
  </si>
  <si>
    <t>St Louis Dermatologic Society</t>
  </si>
  <si>
    <t>c/o Emily Beck</t>
  </si>
  <si>
    <t>1001 Chesterfield Pkwy E</t>
  </si>
  <si>
    <t>Ste 201</t>
  </si>
  <si>
    <t xml:space="preserve">63017-2167                                                                  </t>
  </si>
  <si>
    <t>Peoples Health Center</t>
  </si>
  <si>
    <t>5701 Delmar Blvd</t>
  </si>
  <si>
    <t xml:space="preserve">63112-2617                                                                                                        </t>
  </si>
  <si>
    <t>Intercontinental</t>
  </si>
  <si>
    <t>Mark Hopkins</t>
  </si>
  <si>
    <t>1 Nob Hill Cir</t>
  </si>
  <si>
    <t xml:space="preserve">94108-2232                                                                                                 </t>
  </si>
  <si>
    <t>Informa USA Inc</t>
  </si>
  <si>
    <t>Taylor And Francis Group</t>
  </si>
  <si>
    <t>6000 Broken Sound Pkwy NW</t>
  </si>
  <si>
    <t>Ste 300</t>
  </si>
  <si>
    <t>Boca Raton</t>
  </si>
  <si>
    <t xml:space="preserve">33487-2713                                                                       </t>
  </si>
  <si>
    <t>Lindbergh School District</t>
  </si>
  <si>
    <t>9350 Sappington Rd</t>
  </si>
  <si>
    <t xml:space="preserve">63126-3043                                                                                                  </t>
  </si>
  <si>
    <t>Hazelwood School District</t>
  </si>
  <si>
    <t>Hazelwood East High School</t>
  </si>
  <si>
    <t>11300 Dunn Rd</t>
  </si>
  <si>
    <t xml:space="preserve">63138-1047                                                                             </t>
  </si>
  <si>
    <t>Collegio San Lorenzo da Brindisi</t>
  </si>
  <si>
    <t>Istituto Storico Dei Cappucini</t>
  </si>
  <si>
    <t>Circonvallazione Occidentale</t>
  </si>
  <si>
    <t>Roma</t>
  </si>
  <si>
    <t>Trustees of the University of Pennsylvania</t>
  </si>
  <si>
    <t>Path Bioresource</t>
  </si>
  <si>
    <t>M163 John Morgan Building</t>
  </si>
  <si>
    <t>3620 Hamilton Walk</t>
  </si>
  <si>
    <t xml:space="preserve">19104-4799                                       </t>
  </si>
  <si>
    <t>Occupational Health Centers of the Southwest PC</t>
  </si>
  <si>
    <t>PO Box 75427</t>
  </si>
  <si>
    <t>Oklahoma City</t>
  </si>
  <si>
    <t>OK</t>
  </si>
  <si>
    <t xml:space="preserve">73147-0427                                                                                </t>
  </si>
  <si>
    <t>Ear Nose and Throat Club of St Louis</t>
  </si>
  <si>
    <t>1040 N Mason Rd Ste 123</t>
  </si>
  <si>
    <t xml:space="preserve">63141-6361                                                                                  </t>
  </si>
  <si>
    <t>Hawken School</t>
  </si>
  <si>
    <t>PO Box 8002</t>
  </si>
  <si>
    <t>Gates Mills</t>
  </si>
  <si>
    <t xml:space="preserve">44040-8002                                                                                                                     </t>
  </si>
  <si>
    <t>Catholic University of America</t>
  </si>
  <si>
    <t>Office Of Sponsored Accounting</t>
  </si>
  <si>
    <t>163 Leahy Hall</t>
  </si>
  <si>
    <t xml:space="preserve">20064-0001                                                                    </t>
  </si>
  <si>
    <t>Richard Ivey School of Business Foundation</t>
  </si>
  <si>
    <t>C/O Ivey Publisheing</t>
  </si>
  <si>
    <t>Western University</t>
  </si>
  <si>
    <t>1255 Western Rd</t>
  </si>
  <si>
    <t>London</t>
  </si>
  <si>
    <t>ON</t>
  </si>
  <si>
    <t xml:space="preserve">N6G 0N1                                                      </t>
  </si>
  <si>
    <t>United Chapters of Alpha Kappa Delta Inc</t>
  </si>
  <si>
    <t>2507 James St Ste 210</t>
  </si>
  <si>
    <t>Syracuse</t>
  </si>
  <si>
    <t xml:space="preserve">13206-2825                                                                                   </t>
  </si>
  <si>
    <t>American Orthoptic Council</t>
  </si>
  <si>
    <t>3914 Nakoma Rd</t>
  </si>
  <si>
    <t>Madison</t>
  </si>
  <si>
    <t xml:space="preserve">53711-3017                                                                                                         </t>
  </si>
  <si>
    <t>Kern County Treasurer-Tax Collector</t>
  </si>
  <si>
    <t>Jackie Denney</t>
  </si>
  <si>
    <t>1115 Truxtun Ave</t>
  </si>
  <si>
    <t>Bakersfield</t>
  </si>
  <si>
    <t xml:space="preserve">93301-4629                                                                             </t>
  </si>
  <si>
    <t>Paraquad Inc</t>
  </si>
  <si>
    <t>dba Deaf Way Interpreting Services</t>
  </si>
  <si>
    <t>5240 Oakland Ave</t>
  </si>
  <si>
    <t xml:space="preserve">63110-1436                                                                               </t>
  </si>
  <si>
    <t>Harry Walker Agency Inc</t>
  </si>
  <si>
    <t>355 Lexington Ave Fl 21</t>
  </si>
  <si>
    <t xml:space="preserve">10017-6603                                                                                                  </t>
  </si>
  <si>
    <t>IBISWorld Inc</t>
  </si>
  <si>
    <t>11755 Wilshire Blvd Ste 1100</t>
  </si>
  <si>
    <t xml:space="preserve">90025-1549                                                                                                    </t>
  </si>
  <si>
    <t>Commonwealth of Massachusetts</t>
  </si>
  <si>
    <t>Secretary of The Commonwealth</t>
  </si>
  <si>
    <t>1 Ashburton Pl Fl 17</t>
  </si>
  <si>
    <t xml:space="preserve">02108-1518                                                                    </t>
  </si>
  <si>
    <t>Saint Josephs University</t>
  </si>
  <si>
    <t>Center For International Services</t>
  </si>
  <si>
    <t>Center For International</t>
  </si>
  <si>
    <t>5600 City Ave</t>
  </si>
  <si>
    <t xml:space="preserve">19131-1376                                              </t>
  </si>
  <si>
    <t>Association of Professional Researchers for Advancement</t>
  </si>
  <si>
    <t>Jenna Majzoub Treasurer</t>
  </si>
  <si>
    <t>Dubourg Hall Room 319</t>
  </si>
  <si>
    <t>1 N Grand Blvd</t>
  </si>
  <si>
    <t xml:space="preserve">63103-2006                            </t>
  </si>
  <si>
    <t>Public Library of Science</t>
  </si>
  <si>
    <t>1160 Battery St Ste 225</t>
  </si>
  <si>
    <t xml:space="preserve">94111-1237                                                                                           </t>
  </si>
  <si>
    <t>Blue Star Productions Inc</t>
  </si>
  <si>
    <t>Blue Star Basketball</t>
  </si>
  <si>
    <t>PO Box 345</t>
  </si>
  <si>
    <t>Bensalem</t>
  </si>
  <si>
    <t xml:space="preserve">19020-0345                                                                                         </t>
  </si>
  <si>
    <t>United States Conference of Catholic Bishops</t>
  </si>
  <si>
    <t>Usccb Publishing</t>
  </si>
  <si>
    <t>PO Box 73099</t>
  </si>
  <si>
    <t xml:space="preserve">21273-0001                                                                       </t>
  </si>
  <si>
    <t>American Chemical Society</t>
  </si>
  <si>
    <t>Accounts Receivable</t>
  </si>
  <si>
    <t>1155 16th St NW</t>
  </si>
  <si>
    <t xml:space="preserve">20036-4892                                                                                   </t>
  </si>
  <si>
    <t>JCO Inc</t>
  </si>
  <si>
    <t>Journal of Clinical Orthodontics</t>
  </si>
  <si>
    <t>Journal of Clinical</t>
  </si>
  <si>
    <t>5670 Greenwood Plaza Blvd</t>
  </si>
  <si>
    <t>Greenwood Village</t>
  </si>
  <si>
    <t xml:space="preserve">80111-2409                                                    </t>
  </si>
  <si>
    <t>Pioneer Credit Recovery Inc</t>
  </si>
  <si>
    <t>PO Box 70956</t>
  </si>
  <si>
    <t>Beverly Hills Pharmacy</t>
  </si>
  <si>
    <t>7150 Natural Bridge Rd Ste 100</t>
  </si>
  <si>
    <t xml:space="preserve">63121-5151                                                                                         </t>
  </si>
  <si>
    <t>Kensington Capital Advisors LLC</t>
  </si>
  <si>
    <t>4064 Colony Rd Ste 400</t>
  </si>
  <si>
    <t xml:space="preserve">28211-5123                                                                                          </t>
  </si>
  <si>
    <t>MINK Inc</t>
  </si>
  <si>
    <t>AAF District 9</t>
  </si>
  <si>
    <t>15601 Aurora Ave</t>
  </si>
  <si>
    <t>Urbandale</t>
  </si>
  <si>
    <t xml:space="preserve">50323-2255                                                                                                         </t>
  </si>
  <si>
    <t>US Postal Service</t>
  </si>
  <si>
    <t>Maryville Gardens</t>
  </si>
  <si>
    <t>2920 Meramec St</t>
  </si>
  <si>
    <t xml:space="preserve">63118-4408                                                                                            </t>
  </si>
  <si>
    <t>Nicolay Enterprises Inc</t>
  </si>
  <si>
    <t>11134 Lindbergh Business Ct</t>
  </si>
  <si>
    <t>Ste C</t>
  </si>
  <si>
    <t xml:space="preserve">63123-7838                                                                                      </t>
  </si>
  <si>
    <t>CollegeNET Inc</t>
  </si>
  <si>
    <t>805 SW Broadway Ste 1600</t>
  </si>
  <si>
    <t>Portland</t>
  </si>
  <si>
    <t>OR</t>
  </si>
  <si>
    <t xml:space="preserve">97205-3356                                                                                                          </t>
  </si>
  <si>
    <t>Trustees of Columbia University City of New York</t>
  </si>
  <si>
    <t>Sponsored Projects Finance</t>
  </si>
  <si>
    <t>PO Box 29789</t>
  </si>
  <si>
    <t xml:space="preserve">10087-0001                                                          </t>
  </si>
  <si>
    <t>American Society of Histocompatability &amp; Immunogenetics</t>
  </si>
  <si>
    <t>1120 Route 73 Ste 200</t>
  </si>
  <si>
    <t>Mount Laurel</t>
  </si>
  <si>
    <t>NJ</t>
  </si>
  <si>
    <t xml:space="preserve">08054-5113                                                                </t>
  </si>
  <si>
    <t>Council on Social Work Education Inc</t>
  </si>
  <si>
    <t>1701 Duke St Ste 200</t>
  </si>
  <si>
    <t>Alexandria</t>
  </si>
  <si>
    <t xml:space="preserve">22314-3429                                                                                      </t>
  </si>
  <si>
    <t>University Accounting Service LLC</t>
  </si>
  <si>
    <t>PO Box 5516</t>
  </si>
  <si>
    <t xml:space="preserve">60197-5516                                                                                                </t>
  </si>
  <si>
    <t>Lowes Home Centers Inc</t>
  </si>
  <si>
    <t>PO Box 1111</t>
  </si>
  <si>
    <t>North Wilkesboro</t>
  </si>
  <si>
    <t xml:space="preserve">28659-1111                                                                                                       </t>
  </si>
  <si>
    <t>Rockwood R-6 School District</t>
  </si>
  <si>
    <t>Launa Meesey</t>
  </si>
  <si>
    <t>111 E North St</t>
  </si>
  <si>
    <t>Eureka</t>
  </si>
  <si>
    <t xml:space="preserve">63025-1229                                                                                            </t>
  </si>
  <si>
    <t>Institute of Electrical And Electronics Engineers Inc</t>
  </si>
  <si>
    <t>Student Branch</t>
  </si>
  <si>
    <t>3450 Lindell Blvd Rm 1025</t>
  </si>
  <si>
    <t>McDonnell Douglas Hall</t>
  </si>
  <si>
    <t xml:space="preserve">63103-1110                           </t>
  </si>
  <si>
    <t>Veritiv Operating Company</t>
  </si>
  <si>
    <t>Xpedx LLC</t>
  </si>
  <si>
    <t>3568 Solutions Center</t>
  </si>
  <si>
    <t xml:space="preserve">60677-0001                                                                                          </t>
  </si>
  <si>
    <t>R E Schaefer and Associates Inc</t>
  </si>
  <si>
    <t>Schaefer Mortuary Services</t>
  </si>
  <si>
    <t>2061 Old State Route 21</t>
  </si>
  <si>
    <t>Arnold</t>
  </si>
  <si>
    <t xml:space="preserve">63010-3238                                                                  </t>
  </si>
  <si>
    <t>Arizona State University</t>
  </si>
  <si>
    <t>University Housing</t>
  </si>
  <si>
    <t>PO Box 870212</t>
  </si>
  <si>
    <t>Tempe</t>
  </si>
  <si>
    <t>AZ</t>
  </si>
  <si>
    <t xml:space="preserve">85287-0001                                                                                            </t>
  </si>
  <si>
    <t>Marriott Hotel Services Inc</t>
  </si>
  <si>
    <t>Marco Island Resort</t>
  </si>
  <si>
    <t>400 S Collier Blvd</t>
  </si>
  <si>
    <t>Marco Island</t>
  </si>
  <si>
    <t xml:space="preserve">34145-5304                                                                            </t>
  </si>
  <si>
    <t>Creighton University</t>
  </si>
  <si>
    <t>College Of Professional</t>
  </si>
  <si>
    <t>2500 California Plaza</t>
  </si>
  <si>
    <t>Omaha</t>
  </si>
  <si>
    <t>NE</t>
  </si>
  <si>
    <t xml:space="preserve">68178-0001                                                                                   </t>
  </si>
  <si>
    <t>Grissom Services Inc</t>
  </si>
  <si>
    <t>2333 Grissom Dr Ste 103</t>
  </si>
  <si>
    <t xml:space="preserve">63146-3322                                                                                                  </t>
  </si>
  <si>
    <t>Loyola Marymount University</t>
  </si>
  <si>
    <t>Student Financial Services</t>
  </si>
  <si>
    <t>1 LMU Dr Ste 100</t>
  </si>
  <si>
    <t xml:space="preserve">90045-2677                                                                        </t>
  </si>
  <si>
    <t>Northeast ALS Consortium</t>
  </si>
  <si>
    <t>PO Box 5356</t>
  </si>
  <si>
    <t>Santa Monica</t>
  </si>
  <si>
    <t xml:space="preserve">90409-5356                                                                                                         </t>
  </si>
  <si>
    <t>Rawlings Financial Services LLC</t>
  </si>
  <si>
    <t>PO Box 2000</t>
  </si>
  <si>
    <t>La Grange</t>
  </si>
  <si>
    <t>KY</t>
  </si>
  <si>
    <t xml:space="preserve">40031-2000                                                                                                     </t>
  </si>
  <si>
    <t>State of Mississippi</t>
  </si>
  <si>
    <t>Department of Human Services</t>
  </si>
  <si>
    <t>PO Box 23094</t>
  </si>
  <si>
    <t>Jackson</t>
  </si>
  <si>
    <t>MS</t>
  </si>
  <si>
    <t xml:space="preserve">39225-3094                                                                                     </t>
  </si>
  <si>
    <t>St Louis Society of Cytology</t>
  </si>
  <si>
    <t>973 Meramec Grove Dr</t>
  </si>
  <si>
    <t>Ballwin</t>
  </si>
  <si>
    <t xml:space="preserve">63021-3323                                                                                                 </t>
  </si>
  <si>
    <t>University of Leeds</t>
  </si>
  <si>
    <t>Finance Office Rm 1123</t>
  </si>
  <si>
    <t>EC Stoner Building</t>
  </si>
  <si>
    <t>Leeds</t>
  </si>
  <si>
    <t xml:space="preserve">LS2 9JT                                                                                             </t>
  </si>
  <si>
    <t>Aetna Student Health Agency Inc</t>
  </si>
  <si>
    <t>PO Box 417696</t>
  </si>
  <si>
    <t xml:space="preserve">02241-7696                                                                                                      </t>
  </si>
  <si>
    <t>Education Cooperative</t>
  </si>
  <si>
    <t>141 Mansion Dr Ste 200</t>
  </si>
  <si>
    <t>East Walpole</t>
  </si>
  <si>
    <t xml:space="preserve">02032-1198                                                                                                 </t>
  </si>
  <si>
    <t>National University of Ireland Galway</t>
  </si>
  <si>
    <t>University Rd</t>
  </si>
  <si>
    <t>Galway</t>
  </si>
  <si>
    <t xml:space="preserve">                                                                                                            </t>
  </si>
  <si>
    <t>German Evangelical Lutheran Synod of Missouri</t>
  </si>
  <si>
    <t>Concordia Seminary</t>
  </si>
  <si>
    <t>801 Seminary Pl</t>
  </si>
  <si>
    <t xml:space="preserve">63105-3196                                                               </t>
  </si>
  <si>
    <t>University of Richmond</t>
  </si>
  <si>
    <t>142 Ur Dr</t>
  </si>
  <si>
    <t>Richmond</t>
  </si>
  <si>
    <t xml:space="preserve">23173-0008                                                                                                                 </t>
  </si>
  <si>
    <t>Medcuro Manufacturing LLC</t>
  </si>
  <si>
    <t>9959 Lin Ferry Dr</t>
  </si>
  <si>
    <t xml:space="preserve">63123-6913                                                                                                   </t>
  </si>
  <si>
    <t>Skillville Group</t>
  </si>
  <si>
    <t>Zooperstars Inc</t>
  </si>
  <si>
    <t>PO Box 36061</t>
  </si>
  <si>
    <t>Louisville</t>
  </si>
  <si>
    <t xml:space="preserve">40233-6061                                                                                                   </t>
  </si>
  <si>
    <t>St Francis Xavier Catholic System Inc</t>
  </si>
  <si>
    <t>Attn Lori Schu</t>
  </si>
  <si>
    <t>101 E Northland Ave</t>
  </si>
  <si>
    <t>Appleton</t>
  </si>
  <si>
    <t xml:space="preserve">54911-2104                                                                          </t>
  </si>
  <si>
    <t>Columbia Public School District</t>
  </si>
  <si>
    <t>4303 S Providence Rd</t>
  </si>
  <si>
    <t>Columbia</t>
  </si>
  <si>
    <t xml:space="preserve">65203-7159                                                                                             </t>
  </si>
  <si>
    <t>QuikTrip Corp</t>
  </si>
  <si>
    <t>PO Box 2009</t>
  </si>
  <si>
    <t>Tulsa</t>
  </si>
  <si>
    <t xml:space="preserve">74101-2009                                                                                                                           </t>
  </si>
  <si>
    <t>SSM Select Rehab St Louis LLC</t>
  </si>
  <si>
    <t>Ssm Health Care Cvo</t>
  </si>
  <si>
    <t>1015 Corporate Square Dr</t>
  </si>
  <si>
    <t>Ste 150</t>
  </si>
  <si>
    <t xml:space="preserve">63132-2938                                                              </t>
  </si>
  <si>
    <t>SSM St Joseph Hospital West</t>
  </si>
  <si>
    <t>1195 Corporate Lake Dr</t>
  </si>
  <si>
    <t xml:space="preserve">63132-1716                                                                                            </t>
  </si>
  <si>
    <t>Clifton High School</t>
  </si>
  <si>
    <t>College Fair</t>
  </si>
  <si>
    <t>333 Colfax Ave</t>
  </si>
  <si>
    <t>Clifton</t>
  </si>
  <si>
    <t xml:space="preserve">07013-1796                                                                                                    </t>
  </si>
  <si>
    <t>HTA Des Peres LLC</t>
  </si>
  <si>
    <t>Dept 5817 #145203</t>
  </si>
  <si>
    <t>PO Box 11407</t>
  </si>
  <si>
    <t>Birmingham</t>
  </si>
  <si>
    <t>AL</t>
  </si>
  <si>
    <t xml:space="preserve">35246-0001                                                                                                </t>
  </si>
  <si>
    <t>Busy Bees Embroidery</t>
  </si>
  <si>
    <t>541 E Monroe Ave</t>
  </si>
  <si>
    <t xml:space="preserve">63122-6317                                                                                                         </t>
  </si>
  <si>
    <t>EXPLOR Bioventures LLC</t>
  </si>
  <si>
    <t>21 Godwin Ln</t>
  </si>
  <si>
    <t xml:space="preserve">63124-1538                                                                                                           </t>
  </si>
  <si>
    <t>Saint Andrews School of Boca Raton Inc</t>
  </si>
  <si>
    <t>3900 Jog Rd</t>
  </si>
  <si>
    <t xml:space="preserve">33434-4498                                                                                             </t>
  </si>
  <si>
    <t>Institut Pasteur</t>
  </si>
  <si>
    <t>25-28 Rue Du Docteur Roux</t>
  </si>
  <si>
    <t>Cedex 15</t>
  </si>
  <si>
    <t>Paris</t>
  </si>
  <si>
    <t>Hargan PC</t>
  </si>
  <si>
    <t>9033 Clayton Rd</t>
  </si>
  <si>
    <t xml:space="preserve">63117-1029                                                                                                                     </t>
  </si>
  <si>
    <t>Sherlocks Environmental Services LLC</t>
  </si>
  <si>
    <t>13728 La Conte Ct</t>
  </si>
  <si>
    <t xml:space="preserve">63128-4180                                                                                        </t>
  </si>
  <si>
    <t>St Louis Record Center LLC</t>
  </si>
  <si>
    <t>3728 Market St Ste 170</t>
  </si>
  <si>
    <t xml:space="preserve">63110-1212                                                                                             </t>
  </si>
  <si>
    <t>City of Kirkwood</t>
  </si>
  <si>
    <t>Attn: Utilities</t>
  </si>
  <si>
    <t>139 S Kirkwood Rd</t>
  </si>
  <si>
    <t xml:space="preserve">63122-4303                                                                                             </t>
  </si>
  <si>
    <t>Enterprise Holdings Inc</t>
  </si>
  <si>
    <t>PO Box 16230</t>
  </si>
  <si>
    <t xml:space="preserve">63105-0930                                                                                                          </t>
  </si>
  <si>
    <t>MediEquip Inc</t>
  </si>
  <si>
    <t>12852 Manchester Rd</t>
  </si>
  <si>
    <t xml:space="preserve">63131-1803                                                                                                             </t>
  </si>
  <si>
    <t>Chamber Music Society of St Louis</t>
  </si>
  <si>
    <t>540 N And South Rd Apt 404</t>
  </si>
  <si>
    <t xml:space="preserve">63130-3921                                                                                  </t>
  </si>
  <si>
    <t>Missouri Care</t>
  </si>
  <si>
    <t>PO Box 31584</t>
  </si>
  <si>
    <t>Tampa</t>
  </si>
  <si>
    <t xml:space="preserve">33631-3584                                                                                                                          </t>
  </si>
  <si>
    <t>Athletico Ltd</t>
  </si>
  <si>
    <t>Prorehab Pc</t>
  </si>
  <si>
    <t>PO Box 74007027</t>
  </si>
  <si>
    <t xml:space="preserve">60674-0001                                                                                                          </t>
  </si>
  <si>
    <t>Merricks Inc</t>
  </si>
  <si>
    <t>PO Box 88030</t>
  </si>
  <si>
    <t xml:space="preserve">53288-8030                                                                                                                       </t>
  </si>
  <si>
    <t>Gateway Pharmacology Laboratories</t>
  </si>
  <si>
    <t>16100 Chesterfield Pkwy W</t>
  </si>
  <si>
    <t>Ste 325</t>
  </si>
  <si>
    <t xml:space="preserve">63017-4873                                                                           </t>
  </si>
  <si>
    <t>Illinois Board of Higher Education</t>
  </si>
  <si>
    <t>Academic Affairs Fee Remittance</t>
  </si>
  <si>
    <t>1 N Old State Capitol Plaza Ste 333</t>
  </si>
  <si>
    <t xml:space="preserve">62701-1377                                         </t>
  </si>
  <si>
    <t>Kutak Rock LLP</t>
  </si>
  <si>
    <t>PO Box 30057</t>
  </si>
  <si>
    <t xml:space="preserve">68103-1157                                                                                                                         </t>
  </si>
  <si>
    <t>Explore Information Services LLC</t>
  </si>
  <si>
    <t>PO Box 203489</t>
  </si>
  <si>
    <t xml:space="preserve">75320-3489                                                                                                     </t>
  </si>
  <si>
    <t>Covenant Technology Partners</t>
  </si>
  <si>
    <t>PO Box 790</t>
  </si>
  <si>
    <t>Edwardsville</t>
  </si>
  <si>
    <t xml:space="preserve">62025-0790                                                                                                      </t>
  </si>
  <si>
    <t>National Consortium for Specialized Secondary Schools of</t>
  </si>
  <si>
    <t>Mathematics Science And Technology</t>
  </si>
  <si>
    <t>Mathematics Science And</t>
  </si>
  <si>
    <t>PO Box 151738</t>
  </si>
  <si>
    <t>Chevy Chase</t>
  </si>
  <si>
    <t xml:space="preserve">20825-1738               </t>
  </si>
  <si>
    <t>Thomas G Smith</t>
  </si>
  <si>
    <t>107 Spangle Way Ct</t>
  </si>
  <si>
    <t>O Fallon</t>
  </si>
  <si>
    <t xml:space="preserve">63366-8470                                                                                                                </t>
  </si>
  <si>
    <t>Liz Sullivan</t>
  </si>
  <si>
    <t>4440 Laclede Ave</t>
  </si>
  <si>
    <t xml:space="preserve">63108-2204                                                                                                                 </t>
  </si>
  <si>
    <t>MySky LLC</t>
  </si>
  <si>
    <t>Midwest Helicopter</t>
  </si>
  <si>
    <t>5600 Vector Dr</t>
  </si>
  <si>
    <t>East Saint Louis</t>
  </si>
  <si>
    <t xml:space="preserve">62206-1460                                                                                               </t>
  </si>
  <si>
    <t>Nupur Production Inc</t>
  </si>
  <si>
    <t>556 Anita St</t>
  </si>
  <si>
    <t>Des Plaines</t>
  </si>
  <si>
    <t xml:space="preserve">60016-2935                                                                                                             </t>
  </si>
  <si>
    <t>Meritain Health</t>
  </si>
  <si>
    <t>Dba John Fabick Tractor Co</t>
  </si>
  <si>
    <t>550 Maryvill Ctr Dr Ste 300</t>
  </si>
  <si>
    <t xml:space="preserve">63141-5818                                                                         </t>
  </si>
  <si>
    <t>Technology Insurance Company</t>
  </si>
  <si>
    <t>PO Box 740042</t>
  </si>
  <si>
    <t xml:space="preserve">30374-0042                                                                                                        </t>
  </si>
  <si>
    <t>Converge Consulting Inc</t>
  </si>
  <si>
    <t>415 12th Ave SE Ste 100</t>
  </si>
  <si>
    <t>Cedar Rapids</t>
  </si>
  <si>
    <t xml:space="preserve">52401-2449                                                                                              </t>
  </si>
  <si>
    <t>St Louis Transportation LLC</t>
  </si>
  <si>
    <t>13788 Lakefront Dr</t>
  </si>
  <si>
    <t>Earth City</t>
  </si>
  <si>
    <t xml:space="preserve">63045-1420                                                                                                 </t>
  </si>
  <si>
    <t>Rutherford Learning Group</t>
  </si>
  <si>
    <t>6068 Oxfordshire Rd</t>
  </si>
  <si>
    <t>Waxhaw</t>
  </si>
  <si>
    <t xml:space="preserve">28173-7371                                                                                                      </t>
  </si>
  <si>
    <t>NELLCO Law Library Consortium</t>
  </si>
  <si>
    <t>756 Madison Ave Ste 1</t>
  </si>
  <si>
    <t>Albany</t>
  </si>
  <si>
    <t xml:space="preserve">12208-3823                                                                                                </t>
  </si>
  <si>
    <t>Sisco</t>
  </si>
  <si>
    <t>Ww Wood Products Inc</t>
  </si>
  <si>
    <t>PO Box 389</t>
  </si>
  <si>
    <t>Dubuque</t>
  </si>
  <si>
    <t xml:space="preserve">52004-0389                                                                                                              </t>
  </si>
  <si>
    <t>University of Texas Southwestern Medical Center</t>
  </si>
  <si>
    <t>Post Award Admin</t>
  </si>
  <si>
    <t>PO Box 841765</t>
  </si>
  <si>
    <t xml:space="preserve">75284-0001                                                                      </t>
  </si>
  <si>
    <t>SSM-SLUH Inc</t>
  </si>
  <si>
    <t>Ssm Health Saint Louis</t>
  </si>
  <si>
    <t>PO Box 776236</t>
  </si>
  <si>
    <t xml:space="preserve">60677-2007                                                                                                  </t>
  </si>
  <si>
    <t>American Retirement Life Insurance</t>
  </si>
  <si>
    <t>PO Box 30010</t>
  </si>
  <si>
    <t>Austin</t>
  </si>
  <si>
    <t xml:space="preserve">78755-3010                                                                                                    </t>
  </si>
  <si>
    <t>Collaborative Strategies Inc</t>
  </si>
  <si>
    <t>1610 Des Peres Rd Ste 201</t>
  </si>
  <si>
    <t xml:space="preserve">63131-1849                                                                                        </t>
  </si>
  <si>
    <t>American Board of Endodontics</t>
  </si>
  <si>
    <t>211 E Chicago Ave Ste 1100</t>
  </si>
  <si>
    <t xml:space="preserve">60611-2687                                                                                          </t>
  </si>
  <si>
    <t>MetLife</t>
  </si>
  <si>
    <t>Dba Tricare Dental Program</t>
  </si>
  <si>
    <t>PO Box 14181</t>
  </si>
  <si>
    <t>Lexington</t>
  </si>
  <si>
    <t xml:space="preserve">40512-4181                                                                                                  </t>
  </si>
  <si>
    <t>Rock Star Technologies Inc</t>
  </si>
  <si>
    <t>Cmit Solutions of St Charles/Chesterfield</t>
  </si>
  <si>
    <t>Cmit Solutions of St</t>
  </si>
  <si>
    <t>12977 N 40 Dr Ste 219</t>
  </si>
  <si>
    <t xml:space="preserve">63141-8655                                 </t>
  </si>
  <si>
    <t>National Council for State Authorization</t>
  </si>
  <si>
    <t>Reciprocity Agreements</t>
  </si>
  <si>
    <t>3005 Center Green Dr Ste 130</t>
  </si>
  <si>
    <t xml:space="preserve">80301-2298                                                       </t>
  </si>
  <si>
    <t>Stargate S.R.L.</t>
  </si>
  <si>
    <t>Via Canali Snc</t>
  </si>
  <si>
    <t>Salerno</t>
  </si>
  <si>
    <t>Lifetime Dental Care of Illinois PC</t>
  </si>
  <si>
    <t>Green Mount Family Dentistry</t>
  </si>
  <si>
    <t>1490 N Green Mount Rd Ste A</t>
  </si>
  <si>
    <t xml:space="preserve">62269-3484                                                      </t>
  </si>
  <si>
    <t>Yoga on Washington Ave LLC</t>
  </si>
  <si>
    <t>Urban Breath Yoga</t>
  </si>
  <si>
    <t>2812 Sutton Blvd</t>
  </si>
  <si>
    <t>QualCare Inc</t>
  </si>
  <si>
    <t>PO Box 820</t>
  </si>
  <si>
    <t>Piscataway</t>
  </si>
  <si>
    <t xml:space="preserve">08855-0820                                                                                                                        </t>
  </si>
  <si>
    <t>EAB Global Inc</t>
  </si>
  <si>
    <t>PO Box 603519</t>
  </si>
  <si>
    <t xml:space="preserve">28260-3519                                                                                                                    </t>
  </si>
  <si>
    <t>University of Toledo</t>
  </si>
  <si>
    <t>Mail Stop 1004</t>
  </si>
  <si>
    <t>3100 Transverse Dr</t>
  </si>
  <si>
    <t>Toledo</t>
  </si>
  <si>
    <t xml:space="preserve">43614-8007                                                                                              </t>
  </si>
  <si>
    <t>Taylor &amp; Associates Reporting Inc</t>
  </si>
  <si>
    <t>Alaris Litigation Services</t>
  </si>
  <si>
    <t>PO Box 66936</t>
  </si>
  <si>
    <t xml:space="preserve">63166-6936                                                                      </t>
  </si>
  <si>
    <t>Catholic Charities Foundation</t>
  </si>
  <si>
    <t>Language Access Multicultural People LLC</t>
  </si>
  <si>
    <t>Language Access Multicultural</t>
  </si>
  <si>
    <t>8050 Watson Rd Ste 340</t>
  </si>
  <si>
    <t xml:space="preserve">63119-5387                     </t>
  </si>
  <si>
    <t>Ponce Medical School Foundation Inc</t>
  </si>
  <si>
    <t>PO Box 7004</t>
  </si>
  <si>
    <t>Ponce</t>
  </si>
  <si>
    <t>PR</t>
  </si>
  <si>
    <t>All Access Interpreters</t>
  </si>
  <si>
    <t>8460 Watson Rd Ste 220</t>
  </si>
  <si>
    <t xml:space="preserve">63119-5247                                                                                                </t>
  </si>
  <si>
    <t>Proof: Media for Social Justice</t>
  </si>
  <si>
    <t>c/o Center For Social Innovation</t>
  </si>
  <si>
    <t>c/o Center For Social</t>
  </si>
  <si>
    <t>601 W 26th St</t>
  </si>
  <si>
    <t xml:space="preserve">10001-1101                                               </t>
  </si>
  <si>
    <t>New Milford Board of Education</t>
  </si>
  <si>
    <t>New Milford High School</t>
  </si>
  <si>
    <t>388 Danbury Rd</t>
  </si>
  <si>
    <t>New Milford</t>
  </si>
  <si>
    <t>CT</t>
  </si>
  <si>
    <t xml:space="preserve">06776-4317                                                                          </t>
  </si>
  <si>
    <t>Albany Molecular Research Inc</t>
  </si>
  <si>
    <t>29224 Network Pl</t>
  </si>
  <si>
    <t xml:space="preserve">60673-1292                                                                                                    </t>
  </si>
  <si>
    <t>DC Arena Limited Partnership</t>
  </si>
  <si>
    <t>T/A Capital One Arena</t>
  </si>
  <si>
    <t>601 F St NW</t>
  </si>
  <si>
    <t xml:space="preserve">20004-1605                                                                                  </t>
  </si>
  <si>
    <t>USAA General Indemnity Co</t>
  </si>
  <si>
    <t>PO Box 33490</t>
  </si>
  <si>
    <t xml:space="preserve">78265-3490                                                                                                        </t>
  </si>
  <si>
    <t>Outside Inside Thinking LLC</t>
  </si>
  <si>
    <t>14353 Windcreek Dr</t>
  </si>
  <si>
    <t xml:space="preserve">63017-2512                                                                                               </t>
  </si>
  <si>
    <t>Medova Healthcare</t>
  </si>
  <si>
    <t>345 N Riverview St Ste 600</t>
  </si>
  <si>
    <t>Wichita</t>
  </si>
  <si>
    <t>KS</t>
  </si>
  <si>
    <t xml:space="preserve">67203-4265                                                                                                      </t>
  </si>
  <si>
    <t>Iglesia Luterana Cristo Rey</t>
  </si>
  <si>
    <t>1010 E Yandell Dr</t>
  </si>
  <si>
    <t>El Paso</t>
  </si>
  <si>
    <t xml:space="preserve">79902-5430                                                                                                     </t>
  </si>
  <si>
    <t>Law Office of Rhonda D Fiss PC</t>
  </si>
  <si>
    <t>23 Public Sq Ste 230</t>
  </si>
  <si>
    <t xml:space="preserve">62220-1627                                                                                            </t>
  </si>
  <si>
    <t>Bank of New York Mellon</t>
  </si>
  <si>
    <t>F/B/O Jurisprudent Deferral Solutions Trust</t>
  </si>
  <si>
    <t>F/B/O Jurisprudent Deferral</t>
  </si>
  <si>
    <t>200 Providence Rd Ste 100</t>
  </si>
  <si>
    <t xml:space="preserve">28207-1437                         </t>
  </si>
  <si>
    <t>Advantica Benefits</t>
  </si>
  <si>
    <t>12399 Gravois Rd</t>
  </si>
  <si>
    <t xml:space="preserve">63127-1750                                                                                                           </t>
  </si>
  <si>
    <t>Kingdom House</t>
  </si>
  <si>
    <t>1321 S 11th St</t>
  </si>
  <si>
    <t xml:space="preserve">63104-3599                                                                                                                  </t>
  </si>
  <si>
    <t>Omaha Botanical Center</t>
  </si>
  <si>
    <t>Dba Lauritzen Gardens</t>
  </si>
  <si>
    <t>100 Bancroft St</t>
  </si>
  <si>
    <t xml:space="preserve">68108-1752                                                                                         </t>
  </si>
  <si>
    <t>Anderson Leadership Solutions</t>
  </si>
  <si>
    <t>19102 Big Timber Rd</t>
  </si>
  <si>
    <t>Tyler</t>
  </si>
  <si>
    <t xml:space="preserve">75703-8610                                                                                                   </t>
  </si>
  <si>
    <t>Marshall University</t>
  </si>
  <si>
    <t>PO Box 1360</t>
  </si>
  <si>
    <t>Huntington</t>
  </si>
  <si>
    <t>WV</t>
  </si>
  <si>
    <t xml:space="preserve">25715-1360                                                                                                                </t>
  </si>
  <si>
    <t>P and R Communications</t>
  </si>
  <si>
    <t>6317 Darlow Dr</t>
  </si>
  <si>
    <t xml:space="preserve">63123-3315                                                                                                         </t>
  </si>
  <si>
    <t>QC Financial Services Inc</t>
  </si>
  <si>
    <t>Lendnation</t>
  </si>
  <si>
    <t>Nova Plaza Ste 15</t>
  </si>
  <si>
    <t>1238 Camp Jackson Rd</t>
  </si>
  <si>
    <t>Cahokia</t>
  </si>
  <si>
    <t xml:space="preserve">62206-2232                                                                         </t>
  </si>
  <si>
    <t>Travis Ford LLC</t>
  </si>
  <si>
    <t>6 Bridle Ln</t>
  </si>
  <si>
    <t xml:space="preserve">63131-3309                                                                                                                   </t>
  </si>
  <si>
    <t>Final Lap Race Management</t>
  </si>
  <si>
    <t>253 Sandridge Dr</t>
  </si>
  <si>
    <t>Collinsville</t>
  </si>
  <si>
    <t xml:space="preserve">62234-3710                                                                                                   </t>
  </si>
  <si>
    <t>US Bank Association Minn TAC</t>
  </si>
  <si>
    <t>200 S 6th St</t>
  </si>
  <si>
    <t>Minneapolis</t>
  </si>
  <si>
    <t>MN</t>
  </si>
  <si>
    <t xml:space="preserve">55402-1403                                                                                                     </t>
  </si>
  <si>
    <t>PwC Holdings No 21 LLC</t>
  </si>
  <si>
    <t>Pricewaterhousecoopers</t>
  </si>
  <si>
    <t>PO Box 745647</t>
  </si>
  <si>
    <t xml:space="preserve">60675-0001                                                                                        </t>
  </si>
  <si>
    <t>Movement Center Inc</t>
  </si>
  <si>
    <t>PO Box 13310</t>
  </si>
  <si>
    <t xml:space="preserve">97213-0383                                                                                                                 </t>
  </si>
  <si>
    <t>B&amp;D Machine Works</t>
  </si>
  <si>
    <t>225 Smith Rd</t>
  </si>
  <si>
    <t>Saint Charles</t>
  </si>
  <si>
    <t xml:space="preserve">60174-5208                                                                                                              </t>
  </si>
  <si>
    <t>Positive Approach LLC</t>
  </si>
  <si>
    <t>PO Box 430</t>
  </si>
  <si>
    <t>Efland</t>
  </si>
  <si>
    <t xml:space="preserve">27243-0430                                                                                                                   </t>
  </si>
  <si>
    <t>USAA</t>
  </si>
  <si>
    <t>PO Box 12750</t>
  </si>
  <si>
    <t>Pensacola</t>
  </si>
  <si>
    <t xml:space="preserve">32591-2750                                                                                                                               </t>
  </si>
  <si>
    <t>Spine Center SC</t>
  </si>
  <si>
    <t>1875 Dempster St Ste 425</t>
  </si>
  <si>
    <t>Park Ridge</t>
  </si>
  <si>
    <t xml:space="preserve">60068-1129                                                                                                       </t>
  </si>
  <si>
    <t>Midland Funding LLC</t>
  </si>
  <si>
    <t>PO Box 2121</t>
  </si>
  <si>
    <t>Warren</t>
  </si>
  <si>
    <t xml:space="preserve">48090-2121                                                                                                                    </t>
  </si>
  <si>
    <t>Americo Financial Life &amp; Annuity Insurance</t>
  </si>
  <si>
    <t>Medicare Supplement</t>
  </si>
  <si>
    <t>PO Box 10814</t>
  </si>
  <si>
    <t xml:space="preserve">33757-8814                                                                     </t>
  </si>
  <si>
    <t>Winehouse Enterprise</t>
  </si>
  <si>
    <t>5536 Mable Ave Apt 2</t>
  </si>
  <si>
    <t xml:space="preserve">63140-1406                                                                                                     </t>
  </si>
  <si>
    <t>Cook Law Office PLLC</t>
  </si>
  <si>
    <t>PO Box 286</t>
  </si>
  <si>
    <t>Goodlettsville</t>
  </si>
  <si>
    <t xml:space="preserve">37070-0286                                                                                                            </t>
  </si>
  <si>
    <t>Arlington Greens LLC</t>
  </si>
  <si>
    <t>200 Arlington Dr</t>
  </si>
  <si>
    <t>Granite City</t>
  </si>
  <si>
    <t xml:space="preserve">62040-6523                                                                                                        </t>
  </si>
  <si>
    <t>Learning Made Fun Company</t>
  </si>
  <si>
    <t>Mad Science of St Louis</t>
  </si>
  <si>
    <t>8420 Olive Blvd Apt R</t>
  </si>
  <si>
    <t xml:space="preserve">63132-2816                                                                        </t>
  </si>
  <si>
    <t>Herff Jones LLC</t>
  </si>
  <si>
    <t>PO Box 99292</t>
  </si>
  <si>
    <t xml:space="preserve">60693-9292                                                                                                                      </t>
  </si>
  <si>
    <t>Xtreme Photo FX</t>
  </si>
  <si>
    <t>3914 Yosemite Dr</t>
  </si>
  <si>
    <t>Ocean Springs</t>
  </si>
  <si>
    <t xml:space="preserve">39564-5841                                                                                                            </t>
  </si>
  <si>
    <t>Sturgeon R-V Schools</t>
  </si>
  <si>
    <t>210 W Patton St</t>
  </si>
  <si>
    <t>Sturgeon</t>
  </si>
  <si>
    <t xml:space="preserve">65284-9564                                                                                                             </t>
  </si>
  <si>
    <t>Peerless Media LLC</t>
  </si>
  <si>
    <t>PO Box 1496</t>
  </si>
  <si>
    <t>Framingham</t>
  </si>
  <si>
    <t xml:space="preserve">01701-1496                                                                                                                 </t>
  </si>
  <si>
    <t>Kelsey Casey and Cook Ysura Bartholomew</t>
  </si>
  <si>
    <t>Brauer And Shevlin Ltd</t>
  </si>
  <si>
    <t>12 W Lincoln St</t>
  </si>
  <si>
    <t xml:space="preserve">62220-2018                                                                  </t>
  </si>
  <si>
    <t>JPMorgan Chase Bank NA</t>
  </si>
  <si>
    <t>Mail Code OH4-7399</t>
  </si>
  <si>
    <t>PO Box 182613</t>
  </si>
  <si>
    <t>Columbus</t>
  </si>
  <si>
    <t xml:space="preserve">43218-2613                                                                                           </t>
  </si>
  <si>
    <t>Huai Wang Jingxian Zhng and Gray Ritter &amp; Graham PC</t>
  </si>
  <si>
    <t xml:space="preserve">63101-1826                                                                     </t>
  </si>
  <si>
    <t>Ambetter from Arkansas</t>
  </si>
  <si>
    <t>Health &amp; Wellness</t>
  </si>
  <si>
    <t>1 Allied Dr</t>
  </si>
  <si>
    <t>Little Rock</t>
  </si>
  <si>
    <t>AR</t>
  </si>
  <si>
    <t xml:space="preserve">72202-2065                                                                                           </t>
  </si>
  <si>
    <t>Pool Adminstrators Inc</t>
  </si>
  <si>
    <t>628 Hebron Ave Ste 502</t>
  </si>
  <si>
    <t>Glastonbury</t>
  </si>
  <si>
    <t xml:space="preserve">06033-5022                                                                                                 </t>
  </si>
  <si>
    <t>DJ Kimmy Nu Entertainment</t>
  </si>
  <si>
    <t>1210 Saint Anthony Ln</t>
  </si>
  <si>
    <t>Florissant</t>
  </si>
  <si>
    <t xml:space="preserve">63033-6226                                                                                                </t>
  </si>
  <si>
    <t>Miss M's Candy Boutique</t>
  </si>
  <si>
    <t>500 N Grand Blvd Unit 1F</t>
  </si>
  <si>
    <t xml:space="preserve">63103-1005                                                                                              </t>
  </si>
  <si>
    <t>Humana Military</t>
  </si>
  <si>
    <t>Tri Care East Refunds/Recoupments</t>
  </si>
  <si>
    <t>Tri Care East</t>
  </si>
  <si>
    <t>PO Box 7937</t>
  </si>
  <si>
    <t xml:space="preserve">53707-7937                                                                         </t>
  </si>
  <si>
    <t>McNutt Law LLC</t>
  </si>
  <si>
    <t>4230 Caballo Crossing Dr</t>
  </si>
  <si>
    <t xml:space="preserve">63034-3494                                                                                                        </t>
  </si>
  <si>
    <t>Illinois Harmony</t>
  </si>
  <si>
    <t>Attn Claim Refunds</t>
  </si>
  <si>
    <t>PO Box 8500-7296</t>
  </si>
  <si>
    <t xml:space="preserve">19178-0001                                                                                          </t>
  </si>
  <si>
    <t>Aetna Health and Life Insurance Company</t>
  </si>
  <si>
    <t>PO Box 680579</t>
  </si>
  <si>
    <t>Franklin</t>
  </si>
  <si>
    <t xml:space="preserve">37068-0579                                                                                            </t>
  </si>
  <si>
    <t>Philothea</t>
  </si>
  <si>
    <t>237 E 5th St Ste 187</t>
  </si>
  <si>
    <t xml:space="preserve">63025-1223                                                                                                                     </t>
  </si>
  <si>
    <t>Jellyvision Lab Inc</t>
  </si>
  <si>
    <t>848 W Eastman St Ste 104</t>
  </si>
  <si>
    <t xml:space="preserve">60642-2635                                                                                                      </t>
  </si>
  <si>
    <t>FURTHER</t>
  </si>
  <si>
    <t>PO Box 64193</t>
  </si>
  <si>
    <t>Saint Paul</t>
  </si>
  <si>
    <t xml:space="preserve">55164-0193                                                                                                                           </t>
  </si>
  <si>
    <t>Testing Algorithms LLC</t>
  </si>
  <si>
    <t>378 Lauren Lndg</t>
  </si>
  <si>
    <t xml:space="preserve">63021-7347                                                                                                            </t>
  </si>
  <si>
    <t>Ralph C Martin</t>
  </si>
  <si>
    <t>32 Ravenwood St</t>
  </si>
  <si>
    <t>Mercer Consumer</t>
  </si>
  <si>
    <t>PO Box 9126</t>
  </si>
  <si>
    <t>Des Moines</t>
  </si>
  <si>
    <t xml:space="preserve">50306-9126                                                                                                                    </t>
  </si>
  <si>
    <t>Aramark Corporation</t>
  </si>
  <si>
    <t>20 N Grand Blvd Ste 104A</t>
  </si>
  <si>
    <t xml:space="preserve">63103-2005                                                                                                  </t>
  </si>
  <si>
    <t>University of Southern Indiana</t>
  </si>
  <si>
    <t>Attn: Rene Koressel</t>
  </si>
  <si>
    <t>8600 University Blvd</t>
  </si>
  <si>
    <t>Evansville</t>
  </si>
  <si>
    <t>IN</t>
  </si>
  <si>
    <t xml:space="preserve">47712-3590                                                                         </t>
  </si>
  <si>
    <t>Lodge of the Four Seasons</t>
  </si>
  <si>
    <t>315 Lodge Of Four Seasons Dr</t>
  </si>
  <si>
    <t>PO Box 215</t>
  </si>
  <si>
    <t>Lake Ozark</t>
  </si>
  <si>
    <t xml:space="preserve">65049-0215                                                                               </t>
  </si>
  <si>
    <t>Oxford Health Plan</t>
  </si>
  <si>
    <t>Attn: Claims Refund Lockbox</t>
  </si>
  <si>
    <t>PO Box 10284</t>
  </si>
  <si>
    <t>Newark</t>
  </si>
  <si>
    <t xml:space="preserve">07193-0001                                                                                         </t>
  </si>
  <si>
    <t>Saint Cecilia Academy</t>
  </si>
  <si>
    <t>4210 Harding Pike Ste 2</t>
  </si>
  <si>
    <t>Nashville</t>
  </si>
  <si>
    <t xml:space="preserve">37205-2087                                                                                                   </t>
  </si>
  <si>
    <t>Samuel French Incorporated</t>
  </si>
  <si>
    <t>235 Park Ave S Fl 5</t>
  </si>
  <si>
    <t xml:space="preserve">10003-1405                                                                                                   </t>
  </si>
  <si>
    <t>Let's Start</t>
  </si>
  <si>
    <t>St Vincent Depaul Parish</t>
  </si>
  <si>
    <t>1408 S 10th St</t>
  </si>
  <si>
    <t xml:space="preserve">63104-3725                                                                                            </t>
  </si>
  <si>
    <t>Mayo Collaborative Services Inc</t>
  </si>
  <si>
    <t>dba Mayo Medical Laboratories</t>
  </si>
  <si>
    <t>Business Office</t>
  </si>
  <si>
    <t>PO Box 4100</t>
  </si>
  <si>
    <t>Rochester</t>
  </si>
  <si>
    <t xml:space="preserve">55903-4100                                                         </t>
  </si>
  <si>
    <t>Duke University</t>
  </si>
  <si>
    <t>Trent Hall Room 309</t>
  </si>
  <si>
    <t>310 Trent Dr</t>
  </si>
  <si>
    <t>Duke Box 90392</t>
  </si>
  <si>
    <t>Durham</t>
  </si>
  <si>
    <t xml:space="preserve">27708-0001                                                                                      </t>
  </si>
  <si>
    <t>Marion Hospital Corporation</t>
  </si>
  <si>
    <t>Heartland Regional Medical Center</t>
  </si>
  <si>
    <t>Heartland Regional Medical</t>
  </si>
  <si>
    <t>3333 W Deyoung St</t>
  </si>
  <si>
    <t>Marion</t>
  </si>
  <si>
    <t xml:space="preserve">62959-5884                                           </t>
  </si>
  <si>
    <t>Leukemia &amp; Lymphoma Society</t>
  </si>
  <si>
    <t xml:space="preserve">63114-5723                                                                                    </t>
  </si>
  <si>
    <t>Research Foundation for The State University of New York</t>
  </si>
  <si>
    <t>Sponsored Funds Administration</t>
  </si>
  <si>
    <t>PO Box 6000</t>
  </si>
  <si>
    <t>Binghamton</t>
  </si>
  <si>
    <t xml:space="preserve">13902-6000                                             </t>
  </si>
  <si>
    <t>St Joseph Provincial House</t>
  </si>
  <si>
    <t>Sisters of St Joseph of Carondelet</t>
  </si>
  <si>
    <t>6400 Minnesota Ave</t>
  </si>
  <si>
    <t xml:space="preserve">63111-2807                                                               </t>
  </si>
  <si>
    <t>Vascular and Endovascular Surgery Society</t>
  </si>
  <si>
    <t>100 Cummings Ctr Ste 124A</t>
  </si>
  <si>
    <t>Beverly</t>
  </si>
  <si>
    <t xml:space="preserve">01915-6127                                                                               </t>
  </si>
  <si>
    <t>National Network of Law School Officers</t>
  </si>
  <si>
    <t>1303 San Jacinto St</t>
  </si>
  <si>
    <t>Houston</t>
  </si>
  <si>
    <t xml:space="preserve">77002-7006                                                                                       </t>
  </si>
  <si>
    <t>Bain and Company Inc</t>
  </si>
  <si>
    <t>Bank Of America</t>
  </si>
  <si>
    <t>PO Box 11321</t>
  </si>
  <si>
    <t xml:space="preserve">02211-0001                                                                                                   </t>
  </si>
  <si>
    <t>Boys Hope Girls Hope of St Louis Inc</t>
  </si>
  <si>
    <t>8027 Elinor Ave</t>
  </si>
  <si>
    <t xml:space="preserve">63117-2031                                                                                          </t>
  </si>
  <si>
    <t>Saint Louis Club</t>
  </si>
  <si>
    <t>Attn: Kate Steele</t>
  </si>
  <si>
    <t>7701 Forsyth Blvd Ste 1400</t>
  </si>
  <si>
    <t xml:space="preserve">63105-1869                                                                                  </t>
  </si>
  <si>
    <t>Saint Louis Regional Public Media Inc</t>
  </si>
  <si>
    <t>Nine Network of Public Media</t>
  </si>
  <si>
    <t>3655 Olive St</t>
  </si>
  <si>
    <t xml:space="preserve">63108-3601                                                               </t>
  </si>
  <si>
    <t>American Academy of Nursing</t>
  </si>
  <si>
    <t>1000 Vermont Ave NW Ste 910</t>
  </si>
  <si>
    <t xml:space="preserve">20005-4903                                                                                        </t>
  </si>
  <si>
    <t>John J Smith Masonry Co</t>
  </si>
  <si>
    <t>9200 Green Park Rd</t>
  </si>
  <si>
    <t xml:space="preserve">63123-7212                                                                                                    </t>
  </si>
  <si>
    <t>Saint Anthonys Health Center</t>
  </si>
  <si>
    <t>PO Box 340</t>
  </si>
  <si>
    <t>Alton</t>
  </si>
  <si>
    <t xml:space="preserve">62002-0340                                                                                                             </t>
  </si>
  <si>
    <t>Spencer Fane Britt &amp; Browne LLP</t>
  </si>
  <si>
    <t>PO Box 872037</t>
  </si>
  <si>
    <t xml:space="preserve">64187-2037                                                                                                 </t>
  </si>
  <si>
    <t>American College of Physicians</t>
  </si>
  <si>
    <t>PO Box 13565</t>
  </si>
  <si>
    <t xml:space="preserve">19101-3565                                                                                                  </t>
  </si>
  <si>
    <t>American Heart Association Inc</t>
  </si>
  <si>
    <t>Midwest Affiliate</t>
  </si>
  <si>
    <t>PO Box 50035</t>
  </si>
  <si>
    <t>Prescott</t>
  </si>
  <si>
    <t xml:space="preserve">86304-5035                                                                                     </t>
  </si>
  <si>
    <t>Health Information Services Inc</t>
  </si>
  <si>
    <t>27 Indian Ridge Rd</t>
  </si>
  <si>
    <t xml:space="preserve">02459-3532                                                                                                 </t>
  </si>
  <si>
    <t>Monumental Life Insurance</t>
  </si>
  <si>
    <t>PO Box 92920</t>
  </si>
  <si>
    <t>Cleveland</t>
  </si>
  <si>
    <t xml:space="preserve">44194-0003                                                                                                          </t>
  </si>
  <si>
    <t>Coventry Health Care</t>
  </si>
  <si>
    <t>3838 N Causeway Blvd Ste 3350</t>
  </si>
  <si>
    <t>Metairie</t>
  </si>
  <si>
    <t>LA</t>
  </si>
  <si>
    <t xml:space="preserve">70002-8500                                                                                               </t>
  </si>
  <si>
    <t>American Physiological Society</t>
  </si>
  <si>
    <t>9650 Rockville Pike</t>
  </si>
  <si>
    <t>Bethesda</t>
  </si>
  <si>
    <t xml:space="preserve">20814-3994                                                                                               </t>
  </si>
  <si>
    <t>Jostens</t>
  </si>
  <si>
    <t>1996 Willow Lake Dr</t>
  </si>
  <si>
    <t xml:space="preserve">63017-7644                                                                                                                  </t>
  </si>
  <si>
    <t>World Federation of Athletic Training &amp; Therapy</t>
  </si>
  <si>
    <t>1620 Valwood Pkwy Ste 115</t>
  </si>
  <si>
    <t>Carrollton</t>
  </si>
  <si>
    <t xml:space="preserve">75006-8321                                                                      </t>
  </si>
  <si>
    <t>Society of Chairs of Academic Radiology Departments</t>
  </si>
  <si>
    <t>PO Box 4298</t>
  </si>
  <si>
    <t xml:space="preserve">60197-4298                                                                              </t>
  </si>
  <si>
    <t>US Postmaster</t>
  </si>
  <si>
    <t>Business Reply Dept</t>
  </si>
  <si>
    <t>2700 S Jefferson Ave</t>
  </si>
  <si>
    <t xml:space="preserve">63104-2351                                                                                         </t>
  </si>
  <si>
    <t>Chronicle of Higher Education</t>
  </si>
  <si>
    <t>PO Box 16359</t>
  </si>
  <si>
    <t>North Hollywood</t>
  </si>
  <si>
    <t xml:space="preserve">91615-6359                                                                                                </t>
  </si>
  <si>
    <t>American Society for Clinical Pathology</t>
  </si>
  <si>
    <t>Membership Services</t>
  </si>
  <si>
    <t>33 W Monroe St Ste 1600</t>
  </si>
  <si>
    <t xml:space="preserve">60603-5617                                                                </t>
  </si>
  <si>
    <t>Accreditation Council for Graduate Medical Education</t>
  </si>
  <si>
    <t>29376 Network Pl</t>
  </si>
  <si>
    <t xml:space="preserve">60673-1293                                                                             </t>
  </si>
  <si>
    <t>Missouri Association for College Admission Counseling Inc</t>
  </si>
  <si>
    <t>9051 Watson Rd Ste 106</t>
  </si>
  <si>
    <t xml:space="preserve">63126-2240                                                              </t>
  </si>
  <si>
    <t>Libros Latinos</t>
  </si>
  <si>
    <t>PO Box 1103</t>
  </si>
  <si>
    <t>Redlands</t>
  </si>
  <si>
    <t xml:space="preserve">92373-0343                                                                                                                       </t>
  </si>
  <si>
    <t>Houchen Bindery Ltd</t>
  </si>
  <si>
    <t>University Bindery Division</t>
  </si>
  <si>
    <t>7917 Watson Rd</t>
  </si>
  <si>
    <t xml:space="preserve">63119-5410                                                                                 </t>
  </si>
  <si>
    <t>Phenomenex Inc</t>
  </si>
  <si>
    <t>PO Box 749397</t>
  </si>
  <si>
    <t xml:space="preserve">90074-9397                                                                                                                  </t>
  </si>
  <si>
    <t>Society for Social Work and Research</t>
  </si>
  <si>
    <t>11240 Waples Mill Rd Ste 200</t>
  </si>
  <si>
    <t xml:space="preserve">22030-6078                                                                                 </t>
  </si>
  <si>
    <t>Pennsylvania State Board of Medicine</t>
  </si>
  <si>
    <t>2601 N 3rd St</t>
  </si>
  <si>
    <t>PO Box 2649</t>
  </si>
  <si>
    <t>Harrisburg</t>
  </si>
  <si>
    <t xml:space="preserve">17105-2649                                                                                  </t>
  </si>
  <si>
    <t>Microgenics Corporation</t>
  </si>
  <si>
    <t>7055 Collection Center Dr</t>
  </si>
  <si>
    <t xml:space="preserve">60693-0070                                                                                                 </t>
  </si>
  <si>
    <t>US and Europe Books Inc</t>
  </si>
  <si>
    <t>Manhattan Publishing Company</t>
  </si>
  <si>
    <t>670 White Plains Rd Ste 313</t>
  </si>
  <si>
    <t>Scarsdale</t>
  </si>
  <si>
    <t xml:space="preserve">10583-5024                                                                 </t>
  </si>
  <si>
    <t>Gaunt Inc</t>
  </si>
  <si>
    <t>Gaunt Building</t>
  </si>
  <si>
    <t>3011 Gulf Dr</t>
  </si>
  <si>
    <t>Holmes Beach</t>
  </si>
  <si>
    <t xml:space="preserve">34217-2149                                                                                                         </t>
  </si>
  <si>
    <t>Trustees of Boston College</t>
  </si>
  <si>
    <t>Urban Catholic Teacher Corps</t>
  </si>
  <si>
    <t>25 Lawrence Ave</t>
  </si>
  <si>
    <t>Chestnut Hill</t>
  </si>
  <si>
    <t xml:space="preserve">02467-3961                                                                      </t>
  </si>
  <si>
    <t>Mintel International Group Ltd</t>
  </si>
  <si>
    <t>Dept Ch 19696</t>
  </si>
  <si>
    <t>Palatine</t>
  </si>
  <si>
    <t xml:space="preserve">60055-0001                                                                                                     </t>
  </si>
  <si>
    <t>Metropolitan Congregation United - CACI</t>
  </si>
  <si>
    <t>4501 Westminster Pl</t>
  </si>
  <si>
    <t xml:space="preserve">63108-1801                                                                                   </t>
  </si>
  <si>
    <t>Ohio Child Support Payment Central</t>
  </si>
  <si>
    <t>PO Box 182394</t>
  </si>
  <si>
    <t xml:space="preserve">43218-2394                                                                                                 </t>
  </si>
  <si>
    <t>Missouri Police Chiefs Charitable Foundation</t>
  </si>
  <si>
    <t>1001 E High St</t>
  </si>
  <si>
    <t xml:space="preserve">65101-4035                                                                                </t>
  </si>
  <si>
    <t>Encyclopaedia Britannica Inc</t>
  </si>
  <si>
    <t>PO Box 13832</t>
  </si>
  <si>
    <t xml:space="preserve">19101-3832                                                                                                    </t>
  </si>
  <si>
    <t>Friends of the Saint Louis University Liver Center</t>
  </si>
  <si>
    <t>14323 S Outer 40 Rd Ste 200M</t>
  </si>
  <si>
    <t xml:space="preserve">63017-5745                                                              </t>
  </si>
  <si>
    <t>Regis University</t>
  </si>
  <si>
    <t>Attn: Heidi Barker</t>
  </si>
  <si>
    <t>3333 Regis Blvd Apt E-16</t>
  </si>
  <si>
    <t>Denver</t>
  </si>
  <si>
    <t xml:space="preserve">80221-1099                                                                                        </t>
  </si>
  <si>
    <t>Oakland University</t>
  </si>
  <si>
    <t>Telecommunications Dept</t>
  </si>
  <si>
    <t>220 Dhe</t>
  </si>
  <si>
    <t>College of Saint Mary</t>
  </si>
  <si>
    <t>7000 Mercy Rd</t>
  </si>
  <si>
    <t xml:space="preserve">68106-2632                                                                                                                 </t>
  </si>
  <si>
    <t>Big Apple College Information Program Inc</t>
  </si>
  <si>
    <t>PO Box 46</t>
  </si>
  <si>
    <t>Guilderland</t>
  </si>
  <si>
    <t xml:space="preserve">12084-0046                                                                                           </t>
  </si>
  <si>
    <t>National Intercollegiate Flying Assn</t>
  </si>
  <si>
    <t>2160 W Case Rd Unit 7</t>
  </si>
  <si>
    <t xml:space="preserve">43235-2539                                                                                       </t>
  </si>
  <si>
    <t>Oregon State University</t>
  </si>
  <si>
    <t>Office For Sponsored Research &amp; Award Administration</t>
  </si>
  <si>
    <t>Office For Sponsored Research</t>
  </si>
  <si>
    <t>312 Kerr Administration Bldg</t>
  </si>
  <si>
    <t>Corvallis</t>
  </si>
  <si>
    <t xml:space="preserve">97331-8517           </t>
  </si>
  <si>
    <t>National Association for Campus Activities</t>
  </si>
  <si>
    <t>13 Harbison Way</t>
  </si>
  <si>
    <t>SC</t>
  </si>
  <si>
    <t xml:space="preserve">29212-3401                                                                                       </t>
  </si>
  <si>
    <t>Blitt and Gaines PC</t>
  </si>
  <si>
    <t>707 N 2nd St Ste 306</t>
  </si>
  <si>
    <t xml:space="preserve">63102-2535                                                                                                      </t>
  </si>
  <si>
    <t>University of Detroit Mercy</t>
  </si>
  <si>
    <t>Briggs Bldg Rm 108</t>
  </si>
  <si>
    <t>4001 W McNichols Rd</t>
  </si>
  <si>
    <t>Detroit</t>
  </si>
  <si>
    <t xml:space="preserve">48221-3038                                                                                 </t>
  </si>
  <si>
    <t>State of Connecticut</t>
  </si>
  <si>
    <t>Department of Revenue Services</t>
  </si>
  <si>
    <t>PO Box 5088</t>
  </si>
  <si>
    <t>Hartford</t>
  </si>
  <si>
    <t xml:space="preserve">06102-5088                                                                                   </t>
  </si>
  <si>
    <t>Missouri Association of Colleges of Nursing</t>
  </si>
  <si>
    <t>Lincoln University School of Nursing</t>
  </si>
  <si>
    <t>Lincoln University School of</t>
  </si>
  <si>
    <t>820 Chestnut St</t>
  </si>
  <si>
    <t xml:space="preserve">65101-3537                </t>
  </si>
  <si>
    <t>American Academy of Otolaryngic Allergy Incorporated</t>
  </si>
  <si>
    <t>11130 Sunrise Valley Dr</t>
  </si>
  <si>
    <t>Reston</t>
  </si>
  <si>
    <t xml:space="preserve">20191-5474                                                                </t>
  </si>
  <si>
    <t>Aon Risk Solutions Central</t>
  </si>
  <si>
    <t>75 Remittance Dr Dept 1943</t>
  </si>
  <si>
    <t xml:space="preserve">60675-1943                                                                                             </t>
  </si>
  <si>
    <t>National Collegiate Honors Council</t>
  </si>
  <si>
    <t>Honors Semesters Com</t>
  </si>
  <si>
    <t>1 University Plz Apt 514</t>
  </si>
  <si>
    <t>C/Obernice Brain Long Isl Univ</t>
  </si>
  <si>
    <t>Brooklyn</t>
  </si>
  <si>
    <t xml:space="preserve">11201-5301                                    </t>
  </si>
  <si>
    <t>Blackbird Creative LLC</t>
  </si>
  <si>
    <t>519 Angenette Ave</t>
  </si>
  <si>
    <t xml:space="preserve">63122-6210                                                                                                      </t>
  </si>
  <si>
    <t>Emory University</t>
  </si>
  <si>
    <t>1599 Clifton Rd Fl 3</t>
  </si>
  <si>
    <t xml:space="preserve">30322-4250                                                                                                             </t>
  </si>
  <si>
    <t>Kamal Sabharwal Inc</t>
  </si>
  <si>
    <t>Forensic Pathologist</t>
  </si>
  <si>
    <t>12794 Wynfield Pines Ct</t>
  </si>
  <si>
    <t xml:space="preserve">63131-2156                                                                               </t>
  </si>
  <si>
    <t>Co-ordinated Benefit Plan</t>
  </si>
  <si>
    <t>PO Box 21575</t>
  </si>
  <si>
    <t xml:space="preserve">55121-0575                                                                                                         </t>
  </si>
  <si>
    <t>Yale University</t>
  </si>
  <si>
    <t>Dna Analysis Facility On Science Hill</t>
  </si>
  <si>
    <t>Dna Analysis Facility On</t>
  </si>
  <si>
    <t>165 Prospect St Rm 122</t>
  </si>
  <si>
    <t>New Haven</t>
  </si>
  <si>
    <t xml:space="preserve">06511-8934                                             </t>
  </si>
  <si>
    <t>Alpha Epsilon Delta</t>
  </si>
  <si>
    <t>Tcu Box 298810</t>
  </si>
  <si>
    <t>Winton-Scott 213</t>
  </si>
  <si>
    <t>Fort Worth</t>
  </si>
  <si>
    <t xml:space="preserve">76129-0001                                                                                             </t>
  </si>
  <si>
    <t>Reis Environmental Inc</t>
  </si>
  <si>
    <t>11022 Linpage Pl</t>
  </si>
  <si>
    <t xml:space="preserve">63132-1012                                                                                                       </t>
  </si>
  <si>
    <t>PO Box 589</t>
  </si>
  <si>
    <t>LaGrange</t>
  </si>
  <si>
    <t xml:space="preserve">40031-0589                                                                                                       </t>
  </si>
  <si>
    <t>Lasak LLC</t>
  </si>
  <si>
    <t>400 Jefferson Dr</t>
  </si>
  <si>
    <t xml:space="preserve">63110-1304                                                                                                                    </t>
  </si>
  <si>
    <t>St Louis Peregrine Society</t>
  </si>
  <si>
    <t>2343 Hampton Ave</t>
  </si>
  <si>
    <t xml:space="preserve">63139-2975                                                                                                   </t>
  </si>
  <si>
    <t>Duquesne University of the Holy Spirit</t>
  </si>
  <si>
    <t>600 Forbes Ave</t>
  </si>
  <si>
    <t>Pittsburgh</t>
  </si>
  <si>
    <t xml:space="preserve">15282-0001                                                                                          </t>
  </si>
  <si>
    <t>University of the Pacific</t>
  </si>
  <si>
    <t>Admissions Office</t>
  </si>
  <si>
    <t>3200 5th Ave</t>
  </si>
  <si>
    <t>Sacramento</t>
  </si>
  <si>
    <t xml:space="preserve">95817-2799                                                                                        </t>
  </si>
  <si>
    <t>University of Massachusetts</t>
  </si>
  <si>
    <t>Bursar'S Office</t>
  </si>
  <si>
    <t>55 Lake Ave N</t>
  </si>
  <si>
    <t>Worcester</t>
  </si>
  <si>
    <t xml:space="preserve">01655-0002                                                                                        </t>
  </si>
  <si>
    <t>Compliance Concepts Inc</t>
  </si>
  <si>
    <t>Stonewood Commons II</t>
  </si>
  <si>
    <t>103 Bradford Rd Ste 320</t>
  </si>
  <si>
    <t>Wexford</t>
  </si>
  <si>
    <t xml:space="preserve">15090-6910                                                                               </t>
  </si>
  <si>
    <t>Poudre School District</t>
  </si>
  <si>
    <t>2407 Laporte Ave</t>
  </si>
  <si>
    <t>Fort Collins</t>
  </si>
  <si>
    <t xml:space="preserve">80521-2297                                                                                                      </t>
  </si>
  <si>
    <t>Habitat for Neighborhood Business</t>
  </si>
  <si>
    <t>St Louis University</t>
  </si>
  <si>
    <t>3674 Lindell Blvd</t>
  </si>
  <si>
    <t xml:space="preserve">63108-3302                                                                        </t>
  </si>
  <si>
    <t>American Medical Association</t>
  </si>
  <si>
    <t>Remittance Control</t>
  </si>
  <si>
    <t>330 N Wabash Ave Ste 39300</t>
  </si>
  <si>
    <t xml:space="preserve">60611-5885                                                                         </t>
  </si>
  <si>
    <t>Scholar Educational Systems Inc</t>
  </si>
  <si>
    <t>1550 Crofton Pkwy</t>
  </si>
  <si>
    <t>Crofton</t>
  </si>
  <si>
    <t xml:space="preserve">21114-1533                                                                                                 </t>
  </si>
  <si>
    <t>Transplantation Society</t>
  </si>
  <si>
    <t>International Headquarters</t>
  </si>
  <si>
    <t>505 Boulevard Rene-Levesque Quest</t>
  </si>
  <si>
    <t>Ste 1401</t>
  </si>
  <si>
    <t>Montreal</t>
  </si>
  <si>
    <t>QC</t>
  </si>
  <si>
    <t xml:space="preserve">H2Z 1Y7                                                         </t>
  </si>
  <si>
    <t>Cooperative Education Association Inc</t>
  </si>
  <si>
    <t>Cooperative Education And Internship Association</t>
  </si>
  <si>
    <t>Cooperative Education And</t>
  </si>
  <si>
    <t>10390 Buxton Ln</t>
  </si>
  <si>
    <t>Montgomery</t>
  </si>
  <si>
    <t xml:space="preserve">45242-5304                 </t>
  </si>
  <si>
    <t>Cengage Learning Inc</t>
  </si>
  <si>
    <t>Primary Source Media</t>
  </si>
  <si>
    <t>PO Box 71873</t>
  </si>
  <si>
    <t xml:space="preserve">60694-0001                                                                                             </t>
  </si>
  <si>
    <t>Student Bar Association</t>
  </si>
  <si>
    <t>100 N Tucker Blvd</t>
  </si>
  <si>
    <t xml:space="preserve">63101-1931                                                                                                     </t>
  </si>
  <si>
    <t>Blue Cross Blue Shield</t>
  </si>
  <si>
    <t>Blue Cross Community Health Plan</t>
  </si>
  <si>
    <t>Blue Cross Community Health</t>
  </si>
  <si>
    <t>PO Box 3418</t>
  </si>
  <si>
    <t>Scranton</t>
  </si>
  <si>
    <t xml:space="preserve">18505-0418                                                    </t>
  </si>
  <si>
    <t>SSM Health Cardinal Glennon Children's Hospital</t>
  </si>
  <si>
    <t>3635 Vista Ave</t>
  </si>
  <si>
    <t xml:space="preserve">63110-2539                                                                                </t>
  </si>
  <si>
    <t>Corporation of Gonzaga University</t>
  </si>
  <si>
    <t>502 E Boone Ave</t>
  </si>
  <si>
    <t>Attn: Marcia Bertholf</t>
  </si>
  <si>
    <t>Spokane</t>
  </si>
  <si>
    <t xml:space="preserve">99258-0001                                                                            </t>
  </si>
  <si>
    <t>Yankee Book Peddler Inc</t>
  </si>
  <si>
    <t>dba YBP Library Services</t>
  </si>
  <si>
    <t>999 Maple St</t>
  </si>
  <si>
    <t>Hopkinton</t>
  </si>
  <si>
    <t xml:space="preserve">03229-3374                                                                                    </t>
  </si>
  <si>
    <t>Torrisi Plumbing Services Inc</t>
  </si>
  <si>
    <t>6985 Chippewa St</t>
  </si>
  <si>
    <t xml:space="preserve">63109-3063                                                                                                </t>
  </si>
  <si>
    <t>Gateway Taxi Management Co Inc</t>
  </si>
  <si>
    <t>dba Laclede Cab Company</t>
  </si>
  <si>
    <t>600 S Vandeventer Ave</t>
  </si>
  <si>
    <t xml:space="preserve">63110-1240                                                                   </t>
  </si>
  <si>
    <t>Culver-Stockton College</t>
  </si>
  <si>
    <t>1 College Hl</t>
  </si>
  <si>
    <t>Canton</t>
  </si>
  <si>
    <t xml:space="preserve">63435-1299                                                                                                               </t>
  </si>
  <si>
    <t>MO Healthnet Division</t>
  </si>
  <si>
    <t>PO Box 6500</t>
  </si>
  <si>
    <t xml:space="preserve">65102-6500                                                                                                          </t>
  </si>
  <si>
    <t>MASFAP</t>
  </si>
  <si>
    <t>Attn Cassandra Hicks</t>
  </si>
  <si>
    <t>2208 Missouri Blvd Ste 102</t>
  </si>
  <si>
    <t xml:space="preserve">65109-4742                                                                                      </t>
  </si>
  <si>
    <t>Quest Management Consultants Inc</t>
  </si>
  <si>
    <t>12125 Woodcrest Executive Dr</t>
  </si>
  <si>
    <t>Ste 205</t>
  </si>
  <si>
    <t xml:space="preserve">63141-5010                                                                          </t>
  </si>
  <si>
    <t>Chase Home Finance LLC</t>
  </si>
  <si>
    <t>PO Box 9001871</t>
  </si>
  <si>
    <t xml:space="preserve">40290-1871                                                                                                          </t>
  </si>
  <si>
    <t>Jan Hendrik Niemeyer Artbooks</t>
  </si>
  <si>
    <t>Krummhorn 4</t>
  </si>
  <si>
    <t>Wurster Nordseekuste</t>
  </si>
  <si>
    <t>Junior College District of Metropolitan Kansas City MO</t>
  </si>
  <si>
    <t>Maple Woods Library</t>
  </si>
  <si>
    <t>2601 NE Barry Rd</t>
  </si>
  <si>
    <t xml:space="preserve">64156-1254                                                    </t>
  </si>
  <si>
    <t>SLU Tennis Club</t>
  </si>
  <si>
    <t>Mailbox 257</t>
  </si>
  <si>
    <t>374 S Grand Blvd</t>
  </si>
  <si>
    <t xml:space="preserve">63103-2415                                                                                                   </t>
  </si>
  <si>
    <t>Provider Plus</t>
  </si>
  <si>
    <t>PO Box 771260</t>
  </si>
  <si>
    <t xml:space="preserve">63177-2260                                                                                                                   </t>
  </si>
  <si>
    <t>Corizon</t>
  </si>
  <si>
    <t>103 Powell Ct Ste 200</t>
  </si>
  <si>
    <t>Brentwood</t>
  </si>
  <si>
    <t xml:space="preserve">37027-5079                                                                                                                   </t>
  </si>
  <si>
    <t>Deaf Empowerment Awareness Foundation Inc</t>
  </si>
  <si>
    <t>25 E Frisco Ave Ste 100</t>
  </si>
  <si>
    <t xml:space="preserve">63119-3800                                                                             </t>
  </si>
  <si>
    <t>Travelers</t>
  </si>
  <si>
    <t>Work Comp Claims</t>
  </si>
  <si>
    <t>PO Box 660456</t>
  </si>
  <si>
    <t xml:space="preserve">75266-0456                                                                                                            </t>
  </si>
  <si>
    <t>State of Ohio</t>
  </si>
  <si>
    <t>Ohio Department of Higher Education</t>
  </si>
  <si>
    <t>25 S Front St Floor 2</t>
  </si>
  <si>
    <t xml:space="preserve">43215-4176                                                                           </t>
  </si>
  <si>
    <t>Nephropathology Associates PLC</t>
  </si>
  <si>
    <t>10810 Executive Center Dr</t>
  </si>
  <si>
    <t xml:space="preserve">72211-4386                                                                               </t>
  </si>
  <si>
    <t>Locumtenens.com LLC</t>
  </si>
  <si>
    <t>Attn: Drew Saunders</t>
  </si>
  <si>
    <t>2655 Northwinds Pkwy</t>
  </si>
  <si>
    <t>Alpharetta</t>
  </si>
  <si>
    <t xml:space="preserve">30009-2280                                                                                    </t>
  </si>
  <si>
    <t>Civic Progress</t>
  </si>
  <si>
    <t>4240 Duncan Ave Ste 200</t>
  </si>
  <si>
    <t xml:space="preserve">63110-1123                                                                                                        </t>
  </si>
  <si>
    <t>Medical Physics Group Ltd</t>
  </si>
  <si>
    <t>St John'S Mercy Medical Ctr</t>
  </si>
  <si>
    <t>615 S New Ballas Rd</t>
  </si>
  <si>
    <t xml:space="preserve">63141-8221                                                                      </t>
  </si>
  <si>
    <t>Consulate of Spain</t>
  </si>
  <si>
    <t>Ministry of Foreign Affairs and Cooperation</t>
  </si>
  <si>
    <t>Madrid</t>
  </si>
  <si>
    <t xml:space="preserve">                                                                                                 </t>
  </si>
  <si>
    <t>St Louis Board of Education</t>
  </si>
  <si>
    <t>133 S 11th St</t>
  </si>
  <si>
    <t xml:space="preserve">63102-1135                                                                                                     </t>
  </si>
  <si>
    <t>Academy Management Services</t>
  </si>
  <si>
    <t>Sfmatchc/O Wells Fargo Lockbox Services</t>
  </si>
  <si>
    <t>Sfmatchc/O Wells Fargo Lockbox</t>
  </si>
  <si>
    <t>3440 Walnut Ave Bldg 2</t>
  </si>
  <si>
    <t>Fremont</t>
  </si>
  <si>
    <t xml:space="preserve">94538-2210                           </t>
  </si>
  <si>
    <t>Wells Fargo Bank NA</t>
  </si>
  <si>
    <t>Standby Letters of Credit</t>
  </si>
  <si>
    <t>PO Box 601083</t>
  </si>
  <si>
    <t xml:space="preserve">28260-1083                                                                                      </t>
  </si>
  <si>
    <t>Why Be Creative</t>
  </si>
  <si>
    <t>2608 Oregon Ave</t>
  </si>
  <si>
    <t xml:space="preserve">63118-1430                                                                                                               </t>
  </si>
  <si>
    <t>Study Missouri Consortium</t>
  </si>
  <si>
    <t>c/o Joyce Stevenson</t>
  </si>
  <si>
    <t>91 Grandview Dr</t>
  </si>
  <si>
    <t>Warrensburg</t>
  </si>
  <si>
    <t xml:space="preserve">64093-2908                                                                                  </t>
  </si>
  <si>
    <t>Jacksonville University</t>
  </si>
  <si>
    <t>2800 University Blvd N</t>
  </si>
  <si>
    <t>Jacksonville</t>
  </si>
  <si>
    <t xml:space="preserve">32211-3394                                                                                               </t>
  </si>
  <si>
    <t>Sodexo Operations LLC</t>
  </si>
  <si>
    <t>PO Box 360170</t>
  </si>
  <si>
    <t xml:space="preserve">15251-6470                                                                                                            </t>
  </si>
  <si>
    <t>Cosmopolitan Hotel</t>
  </si>
  <si>
    <t>387-397 Queen's Road East</t>
  </si>
  <si>
    <t>Wan Chai</t>
  </si>
  <si>
    <t xml:space="preserve">                                                                                                                 </t>
  </si>
  <si>
    <t>Fundacion HNO Mercedes Ruiz</t>
  </si>
  <si>
    <t>Apartado Postal A-118</t>
  </si>
  <si>
    <t>Antiguo Cuscatlan</t>
  </si>
  <si>
    <t>El Salvador</t>
  </si>
  <si>
    <t xml:space="preserve">                                                                                        </t>
  </si>
  <si>
    <t>Iowa College Access Network</t>
  </si>
  <si>
    <t>1770 Boyson Rd</t>
  </si>
  <si>
    <t>Hiawatha</t>
  </si>
  <si>
    <t xml:space="preserve">52233-2342                                                                                                       </t>
  </si>
  <si>
    <t>Societe Francaise of Saint Louis</t>
  </si>
  <si>
    <t>PO Box 413</t>
  </si>
  <si>
    <t>Hillsboro</t>
  </si>
  <si>
    <t xml:space="preserve">63050-0413                                                                                                     </t>
  </si>
  <si>
    <t>St Louis Carpenters District Council Scholarship Fund</t>
  </si>
  <si>
    <t>1401 Hampton Ave</t>
  </si>
  <si>
    <t xml:space="preserve">63139-3159                                                                        </t>
  </si>
  <si>
    <t>Universidad Popular Autonoma del Estado de Puebla</t>
  </si>
  <si>
    <t>21 Sur 1103 Colonia Santiago</t>
  </si>
  <si>
    <t>Puebla Pue</t>
  </si>
  <si>
    <t>Health Plan</t>
  </si>
  <si>
    <t>St Clairsville Administrative Office</t>
  </si>
  <si>
    <t>St Clairsville Administrative</t>
  </si>
  <si>
    <t>52160 National Rd</t>
  </si>
  <si>
    <t>Saint Clairsville</t>
  </si>
  <si>
    <t xml:space="preserve">43950-9365                                          </t>
  </si>
  <si>
    <t>African Studies Association</t>
  </si>
  <si>
    <t>54 Joyce Kilmer Ave</t>
  </si>
  <si>
    <t xml:space="preserve">08854-8070                                                                                                </t>
  </si>
  <si>
    <t>Casa de Salud</t>
  </si>
  <si>
    <t>3200 Chouteau Ave</t>
  </si>
  <si>
    <t xml:space="preserve">63103-2910                                                                                                               </t>
  </si>
  <si>
    <t>Lincoln Financial Group</t>
  </si>
  <si>
    <t>PO Box 26028</t>
  </si>
  <si>
    <t>Greensboro</t>
  </si>
  <si>
    <t xml:space="preserve">27420-6028                                                                                                           </t>
  </si>
  <si>
    <t>Tau Beta Pi Association Inc</t>
  </si>
  <si>
    <t>PO Box 2697</t>
  </si>
  <si>
    <t xml:space="preserve">37901-2697                                                                                                         </t>
  </si>
  <si>
    <t>Tim Parker Photography</t>
  </si>
  <si>
    <t>970 Forder Hills Dr</t>
  </si>
  <si>
    <t xml:space="preserve">63129-2065                                                                                                    </t>
  </si>
  <si>
    <t>University of North Georgia</t>
  </si>
  <si>
    <t>82 College Cir</t>
  </si>
  <si>
    <t>Dahlonega</t>
  </si>
  <si>
    <t>Missouri Sleep Society</t>
  </si>
  <si>
    <t>2518 Lemay Ferry Rd Apt 206</t>
  </si>
  <si>
    <t xml:space="preserve">63125-3131                                                                                            </t>
  </si>
  <si>
    <t>Advanced Med Car LLC</t>
  </si>
  <si>
    <t>204 Sun Meadow Dr</t>
  </si>
  <si>
    <t>Smithton</t>
  </si>
  <si>
    <t xml:space="preserve">62285-1479                                                                                                           </t>
  </si>
  <si>
    <t>Regents of the University of California</t>
  </si>
  <si>
    <t>University Of California San</t>
  </si>
  <si>
    <t>9500 Gilman Dr #0954</t>
  </si>
  <si>
    <t>La Jolla</t>
  </si>
  <si>
    <t xml:space="preserve">92093-0001                                                         </t>
  </si>
  <si>
    <t>Creative Mailroom Services Inc</t>
  </si>
  <si>
    <t>PO Box 536</t>
  </si>
  <si>
    <t xml:space="preserve">63302-0536                                                                                                   </t>
  </si>
  <si>
    <t>Source Healthcare Analytics LLC</t>
  </si>
  <si>
    <t>PO Box 277158</t>
  </si>
  <si>
    <t xml:space="preserve">30384-7158                                                                                                     </t>
  </si>
  <si>
    <t>Event Productions Inc</t>
  </si>
  <si>
    <t>5112 Chouteaus Bluff Dr</t>
  </si>
  <si>
    <t xml:space="preserve">63111-2010                                                                                                 </t>
  </si>
  <si>
    <t>Penguin Random House LLC</t>
  </si>
  <si>
    <t>Attn Nick Dansi</t>
  </si>
  <si>
    <t>1745 Broadway Md 5-1</t>
  </si>
  <si>
    <t>Reyem Group LLC</t>
  </si>
  <si>
    <t>9818 Affton View Ct</t>
  </si>
  <si>
    <t xml:space="preserve">63123-6273                                                                                                           </t>
  </si>
  <si>
    <t>Jeffery Karl Brooke</t>
  </si>
  <si>
    <t>Proforma Business Builders</t>
  </si>
  <si>
    <t>PO Box 640814</t>
  </si>
  <si>
    <t>Cincinnati</t>
  </si>
  <si>
    <t xml:space="preserve">45264-0001                                                                                    </t>
  </si>
  <si>
    <t>Midwest Technical Institute Inc</t>
  </si>
  <si>
    <t>2731 N Farmers Market Rd</t>
  </si>
  <si>
    <t xml:space="preserve">62707-8805                                                                                      </t>
  </si>
  <si>
    <t>Steamfitters Local 439</t>
  </si>
  <si>
    <t>825 Maryville Centre Dr</t>
  </si>
  <si>
    <t xml:space="preserve">63017-5942                                                                                               </t>
  </si>
  <si>
    <t>Refpay Tr Dtd 7-31-09</t>
  </si>
  <si>
    <t>Arbiterpay</t>
  </si>
  <si>
    <t>200 E South Temple Ste 210</t>
  </si>
  <si>
    <t>Salt Lake City</t>
  </si>
  <si>
    <t>UT</t>
  </si>
  <si>
    <t xml:space="preserve">84111-1346                                                                                 </t>
  </si>
  <si>
    <t>Licensing Exam Preparation Services LLC</t>
  </si>
  <si>
    <t>9518 N 53rd Pl</t>
  </si>
  <si>
    <t>Paradise Valley</t>
  </si>
  <si>
    <t xml:space="preserve">85253-1612                                                                                    </t>
  </si>
  <si>
    <t>Society of Academic Association of Anesthesiology</t>
  </si>
  <si>
    <t>And Perioperative Medicine Inc</t>
  </si>
  <si>
    <t>6737 W Washington St Ste 4210</t>
  </si>
  <si>
    <t xml:space="preserve">53214-5636                                   </t>
  </si>
  <si>
    <t>Med-Tech Refrigeration LLC</t>
  </si>
  <si>
    <t>1229 Queens Trail Ln</t>
  </si>
  <si>
    <t>Fenton</t>
  </si>
  <si>
    <t xml:space="preserve">63026-4217                                                                                                    </t>
  </si>
  <si>
    <t>Prosthetic and Orthotic Care</t>
  </si>
  <si>
    <t>1084 Old Des Peres Rd</t>
  </si>
  <si>
    <t xml:space="preserve">63131-1865                                                                                            </t>
  </si>
  <si>
    <t>Prairie School Inc</t>
  </si>
  <si>
    <t>4050 Lighthouse Dr</t>
  </si>
  <si>
    <t>Racine</t>
  </si>
  <si>
    <t xml:space="preserve">53402-3107                                                                                                              </t>
  </si>
  <si>
    <t>Social &amp; Scientific Systems Inc</t>
  </si>
  <si>
    <t>8757 Georgia Ave Ste 1200</t>
  </si>
  <si>
    <t>Silver Spring</t>
  </si>
  <si>
    <t xml:space="preserve">20910-3739                                                                                   </t>
  </si>
  <si>
    <t>Chen Immigration Law Associates PC</t>
  </si>
  <si>
    <t>North American Immigration Law Group</t>
  </si>
  <si>
    <t>2723 S State St Ste 150</t>
  </si>
  <si>
    <t xml:space="preserve">48104-6188                                                  </t>
  </si>
  <si>
    <t>Caldwell County Area Technology</t>
  </si>
  <si>
    <t>139 Vocational School Rd</t>
  </si>
  <si>
    <t>Princeton</t>
  </si>
  <si>
    <t xml:space="preserve">42445-5113                                                                                        </t>
  </si>
  <si>
    <t>Pan American Group LLC</t>
  </si>
  <si>
    <t>6200 Oak Tree Blvd Ste 250</t>
  </si>
  <si>
    <t>Independence</t>
  </si>
  <si>
    <t xml:space="preserve">44131-6943                                                                                            </t>
  </si>
  <si>
    <t>Shire</t>
  </si>
  <si>
    <t>1200 Lakeside Dr</t>
  </si>
  <si>
    <t>Bannockburn</t>
  </si>
  <si>
    <t xml:space="preserve">60015-1243                                                                                                                        </t>
  </si>
  <si>
    <t>SSM Health Care of Wisconsin</t>
  </si>
  <si>
    <t>Attn: Lisa Stadler</t>
  </si>
  <si>
    <t>PO Box 259450</t>
  </si>
  <si>
    <t xml:space="preserve">53725-9450                                                                                      </t>
  </si>
  <si>
    <t>Precision Oncology Acquisition Co Inc</t>
  </si>
  <si>
    <t>Precision Ocology LLC</t>
  </si>
  <si>
    <t>PO Box 75742</t>
  </si>
  <si>
    <t xml:space="preserve">21275-0001                                                                         </t>
  </si>
  <si>
    <t>CIOSensei LLC</t>
  </si>
  <si>
    <t>1 Baker Rd</t>
  </si>
  <si>
    <t>Medfield</t>
  </si>
  <si>
    <t xml:space="preserve">02052-1564                                                                                                                         </t>
  </si>
  <si>
    <t>Southeast Rehabilitation</t>
  </si>
  <si>
    <t>Poplar Bluff Rehabilitation</t>
  </si>
  <si>
    <t>3999 State Hwy P Ste 2</t>
  </si>
  <si>
    <t>Poplar Bluff</t>
  </si>
  <si>
    <t>Stormz Inc</t>
  </si>
  <si>
    <t>2261 Market St Ste 5897BF-B</t>
  </si>
  <si>
    <t xml:space="preserve">94114-1600                                                                                                      </t>
  </si>
  <si>
    <t>Brickhouse Consultancy LLC</t>
  </si>
  <si>
    <t>3801 McDonald Ave</t>
  </si>
  <si>
    <t xml:space="preserve">63116-4716                                                                                                  </t>
  </si>
  <si>
    <t>Wonderer LLC</t>
  </si>
  <si>
    <t>PO Box 90297</t>
  </si>
  <si>
    <t xml:space="preserve">15224-0797                                                                                                                      </t>
  </si>
  <si>
    <t>Community College District #536</t>
  </si>
  <si>
    <t>Lewis And Clark Community College</t>
  </si>
  <si>
    <t>Lewis And Clark Community</t>
  </si>
  <si>
    <t>5800 Godfrey Rd</t>
  </si>
  <si>
    <t>Godfrey</t>
  </si>
  <si>
    <t xml:space="preserve">62035-2426                                         </t>
  </si>
  <si>
    <t>Kaiser Foundation Health Plan of Washington</t>
  </si>
  <si>
    <t>Attn Cash Desk</t>
  </si>
  <si>
    <t>PO Box 34587</t>
  </si>
  <si>
    <t xml:space="preserve">98124-1587                                                                            </t>
  </si>
  <si>
    <t>Sun Life Financial</t>
  </si>
  <si>
    <t>c/o Asset Protection Unit Inc</t>
  </si>
  <si>
    <t>PO Box 30969</t>
  </si>
  <si>
    <t>Amarillo</t>
  </si>
  <si>
    <t xml:space="preserve">79120-0969                                                                                     </t>
  </si>
  <si>
    <t>Residence Hall Association</t>
  </si>
  <si>
    <t>Regional Business Conference</t>
  </si>
  <si>
    <t>100 E Normal Ave</t>
  </si>
  <si>
    <t>Kirksville</t>
  </si>
  <si>
    <t xml:space="preserve">63501-4200                                                                        </t>
  </si>
  <si>
    <t>Grable Group Inc</t>
  </si>
  <si>
    <t>562 Natchez Bend Rd</t>
  </si>
  <si>
    <t xml:space="preserve">37221-9714                                                                                                            </t>
  </si>
  <si>
    <t>Jerry Leopold and Peterson &amp; Associates PC</t>
  </si>
  <si>
    <t>801 W 47th St Ste 107</t>
  </si>
  <si>
    <t xml:space="preserve">64112-1253                                                                              </t>
  </si>
  <si>
    <t>City of Shrewsbury</t>
  </si>
  <si>
    <t>5200 Shrewsbury Ave</t>
  </si>
  <si>
    <t xml:space="preserve">63119-4398                                                                                                        </t>
  </si>
  <si>
    <t>RC Solutions</t>
  </si>
  <si>
    <t>135 Midwood Way</t>
  </si>
  <si>
    <t>Colonia</t>
  </si>
  <si>
    <t xml:space="preserve">07067-3116                                                                                                                      </t>
  </si>
  <si>
    <t>World Class Industrial Network</t>
  </si>
  <si>
    <t>33 Terminal Way Ste 435</t>
  </si>
  <si>
    <t xml:space="preserve">15219-1216                                                                                         </t>
  </si>
  <si>
    <t>Eichelberger Property Managment LLC</t>
  </si>
  <si>
    <t>5825 Gravois Ave</t>
  </si>
  <si>
    <t xml:space="preserve">63116-2236                                                                                          </t>
  </si>
  <si>
    <t>University Club Associates LP</t>
  </si>
  <si>
    <t>University Plaza Apartments</t>
  </si>
  <si>
    <t>607 N Grand Blvd</t>
  </si>
  <si>
    <t xml:space="preserve">63103-1037                                                                     </t>
  </si>
  <si>
    <t>Behavioral Health Response Inc</t>
  </si>
  <si>
    <t>12647 Olive Blvd Ste 200</t>
  </si>
  <si>
    <t xml:space="preserve">63141-6345                                                                                       </t>
  </si>
  <si>
    <t>Arkansas Academy of Science</t>
  </si>
  <si>
    <t>PO Box 1950</t>
  </si>
  <si>
    <t>Russellville</t>
  </si>
  <si>
    <t xml:space="preserve">72811-1950                                                                                                      </t>
  </si>
  <si>
    <t>Roe Kozma The Gogel Law Firm and the Mandel Law Group</t>
  </si>
  <si>
    <t>800 Market St Ste 1100</t>
  </si>
  <si>
    <t xml:space="preserve">63101-2508                                                                  </t>
  </si>
  <si>
    <t>Standard at St Louis Borrower LLC</t>
  </si>
  <si>
    <t>3853 Forest Park Ave</t>
  </si>
  <si>
    <t xml:space="preserve">63108-3321                                                                                        </t>
  </si>
  <si>
    <t>Second City Inc</t>
  </si>
  <si>
    <t>1616 N Wells St</t>
  </si>
  <si>
    <t xml:space="preserve">60614-6002                                                                                                                   </t>
  </si>
  <si>
    <t>County of Franklin</t>
  </si>
  <si>
    <t>100 Public Sq Ste 1</t>
  </si>
  <si>
    <t>Benton</t>
  </si>
  <si>
    <t xml:space="preserve">62812-2264                                                                                                             </t>
  </si>
  <si>
    <t>David Butler MD LLC</t>
  </si>
  <si>
    <t>19 Dartford Ave</t>
  </si>
  <si>
    <t xml:space="preserve">63105-3046                                                                                                           </t>
  </si>
  <si>
    <t>City of Creve Coeur</t>
  </si>
  <si>
    <t>300 N New Ballas Rd</t>
  </si>
  <si>
    <t xml:space="preserve">63141-7501                                                                                                       </t>
  </si>
  <si>
    <t>Arthur J Gallagher Risk Management Services Inc</t>
  </si>
  <si>
    <t>39683 Treasury Ctr</t>
  </si>
  <si>
    <t xml:space="preserve">60694-9600                                                                                </t>
  </si>
  <si>
    <t>Institute for Advanced Catholic Studies</t>
  </si>
  <si>
    <t>3601 Watt Way Ste 304</t>
  </si>
  <si>
    <t xml:space="preserve">90089-0106                                                                                 </t>
  </si>
  <si>
    <t>Winkler Entertainment LLC</t>
  </si>
  <si>
    <t>3022 Highland House Villas Ct</t>
  </si>
  <si>
    <t xml:space="preserve">63010-5611                                                                                            </t>
  </si>
  <si>
    <t>Kinect Inc</t>
  </si>
  <si>
    <t>77 Hillside Dr</t>
  </si>
  <si>
    <t>Toronto</t>
  </si>
  <si>
    <t xml:space="preserve">M4K2M5                                                                                                                             </t>
  </si>
  <si>
    <t>Missouri Cures Education Foundation</t>
  </si>
  <si>
    <t>PO Box 16580</t>
  </si>
  <si>
    <t xml:space="preserve">63105-1080                                                                                              </t>
  </si>
  <si>
    <t>American Chronic Pain Association Inc</t>
  </si>
  <si>
    <t>4150 Roble Way</t>
  </si>
  <si>
    <t>Rocklin</t>
  </si>
  <si>
    <t xml:space="preserve">95677-1931                                                                                              </t>
  </si>
  <si>
    <t>Ecumenical Leadership Council of Missouri</t>
  </si>
  <si>
    <t>222 S Central Ave Ste 204</t>
  </si>
  <si>
    <t xml:space="preserve">63105-3527                                                                           </t>
  </si>
  <si>
    <t>Gray Plant Mooty Mooty &amp; Bennett PA</t>
  </si>
  <si>
    <t>500 Ids Center</t>
  </si>
  <si>
    <t>80 S 8th St</t>
  </si>
  <si>
    <t xml:space="preserve">55402-3796                                                                                 </t>
  </si>
  <si>
    <t>Shakespeare Festival St Louis</t>
  </si>
  <si>
    <t>5715 Elizabeth Ave</t>
  </si>
  <si>
    <t xml:space="preserve">63110-2801                                                                                              </t>
  </si>
  <si>
    <t>Summit Comedy Inc</t>
  </si>
  <si>
    <t>2116 Baggins Ln</t>
  </si>
  <si>
    <t xml:space="preserve">28269-6972                                                                                                               </t>
  </si>
  <si>
    <t>David So Comedy Inc</t>
  </si>
  <si>
    <t>167 Monterey Rd Unit 1</t>
  </si>
  <si>
    <t>South Pasadena</t>
  </si>
  <si>
    <t xml:space="preserve">91030-5005                                                                                                 </t>
  </si>
  <si>
    <t>Lanphier High School</t>
  </si>
  <si>
    <t>1300 N 11th St</t>
  </si>
  <si>
    <t xml:space="preserve">62702-4099                                                                                                           </t>
  </si>
  <si>
    <t>Covenant Administrators Inc</t>
  </si>
  <si>
    <t>2810 Premiere Pkwy Ste 400</t>
  </si>
  <si>
    <t>Duluth</t>
  </si>
  <si>
    <t xml:space="preserve">30097-8908                                                                                             </t>
  </si>
  <si>
    <t>Brothers of the Christian Schools of Manhattan College Inc</t>
  </si>
  <si>
    <t>4415 Post Rd</t>
  </si>
  <si>
    <t>Bronx</t>
  </si>
  <si>
    <t xml:space="preserve">10471-3499                                                                             </t>
  </si>
  <si>
    <t>Dogtown Records LLC</t>
  </si>
  <si>
    <t>6600 Mitchell Ave</t>
  </si>
  <si>
    <t xml:space="preserve">63139-3547                                                                                                         </t>
  </si>
  <si>
    <t>Oral Inc</t>
  </si>
  <si>
    <t>3230 Market St Ste 401</t>
  </si>
  <si>
    <t xml:space="preserve">19104-3391                                                                                                              </t>
  </si>
  <si>
    <t>Renaissance Beijing Capital Hotel</t>
  </si>
  <si>
    <t>61 Dongsanhuan Middle Road</t>
  </si>
  <si>
    <t>Chaoyang District</t>
  </si>
  <si>
    <t>Beijeng</t>
  </si>
  <si>
    <t xml:space="preserve">                                                                                 </t>
  </si>
  <si>
    <t>Strand &amp; Heitman Innovative Forensic Techniques</t>
  </si>
  <si>
    <t>1704 Palmer Ct</t>
  </si>
  <si>
    <t>Rolla</t>
  </si>
  <si>
    <t xml:space="preserve">65401-8336                                                                                      </t>
  </si>
  <si>
    <t>Kansas Entomological Society</t>
  </si>
  <si>
    <t>PO Box 7065</t>
  </si>
  <si>
    <t>Lawrence</t>
  </si>
  <si>
    <t xml:space="preserve">66044-7065                                                                                                         </t>
  </si>
  <si>
    <t>James Campbell Vicki Campbell and Their Attorneys</t>
  </si>
  <si>
    <t>Keefe Keefe &amp; Unsell Pc</t>
  </si>
  <si>
    <t>6 Executive Woods Ct</t>
  </si>
  <si>
    <t>Swansea</t>
  </si>
  <si>
    <t xml:space="preserve">62226-2016                                                     </t>
  </si>
  <si>
    <t>Sofi Lending</t>
  </si>
  <si>
    <t>Department 3560</t>
  </si>
  <si>
    <t>PO Box 654158</t>
  </si>
  <si>
    <t xml:space="preserve">75265-4158                                                                                                          </t>
  </si>
  <si>
    <t>NJJ Touring LLC</t>
  </si>
  <si>
    <t>c/o Ffo LLC</t>
  </si>
  <si>
    <t>135 W 50th St Fl 19</t>
  </si>
  <si>
    <t xml:space="preserve">10020-1201                                                                                                   </t>
  </si>
  <si>
    <t>Metro East Healthcare Ltd</t>
  </si>
  <si>
    <t>2133 Vadalabene Dr Ste 5B</t>
  </si>
  <si>
    <t>Maryville</t>
  </si>
  <si>
    <t xml:space="preserve">62062-5839                                                                                             </t>
  </si>
  <si>
    <t>Pediatric Brain Tumor Foundation of the United States</t>
  </si>
  <si>
    <t>302 Ridgefield Ct</t>
  </si>
  <si>
    <t>Asheville</t>
  </si>
  <si>
    <t xml:space="preserve">28806-2210                                                                         </t>
  </si>
  <si>
    <t>Distinctive Dermatology LTD</t>
  </si>
  <si>
    <t>180 S Weidman Rd Ste 125</t>
  </si>
  <si>
    <t xml:space="preserve">63021-5724                                                                                              </t>
  </si>
  <si>
    <t>Hanagan &amp; McGovern PC</t>
  </si>
  <si>
    <t>123 S 10th St Ste 601</t>
  </si>
  <si>
    <t>Mount Vernon</t>
  </si>
  <si>
    <t xml:space="preserve">62864-4029                                                                                                  </t>
  </si>
  <si>
    <t>Catholic Volunteer Network</t>
  </si>
  <si>
    <t>6930 Carroll Ave Ste 820</t>
  </si>
  <si>
    <t>Takoma Park</t>
  </si>
  <si>
    <t xml:space="preserve">20912-4481                                                                                           </t>
  </si>
  <si>
    <t>Omnicard LLC</t>
  </si>
  <si>
    <t>16610 N Black Canyon Hwy</t>
  </si>
  <si>
    <t>Ste B-105</t>
  </si>
  <si>
    <t>Phoenix</t>
  </si>
  <si>
    <t xml:space="preserve">85053-4036                                                                                                    </t>
  </si>
  <si>
    <t>Balanced Life Counseling &amp; Consulting</t>
  </si>
  <si>
    <t>PO Box 190061</t>
  </si>
  <si>
    <t xml:space="preserve">63119-6061                                                                                           </t>
  </si>
  <si>
    <t>HD Spectrum</t>
  </si>
  <si>
    <t>2637 E Atlantic Blvd Ste 40961</t>
  </si>
  <si>
    <t>Pompano Beach</t>
  </si>
  <si>
    <t xml:space="preserve">33062-4939                                                                                                  </t>
  </si>
  <si>
    <t>N.F. Consulting</t>
  </si>
  <si>
    <t>Dba Nufocus Strategic Group</t>
  </si>
  <si>
    <t>3451 Brookstone Dr</t>
  </si>
  <si>
    <t>Turlock</t>
  </si>
  <si>
    <t xml:space="preserve">95382-9215                                                                                     </t>
  </si>
  <si>
    <t>FPA Flats-Bloomington</t>
  </si>
  <si>
    <t>Icon Student Spaces</t>
  </si>
  <si>
    <t xml:space="preserve">63103-2415                                                                                     </t>
  </si>
  <si>
    <t>EBIX Health Administration Exchange</t>
  </si>
  <si>
    <t>Ihc Health Solutions</t>
  </si>
  <si>
    <t>3925 E State St Ste 100</t>
  </si>
  <si>
    <t>Rockford</t>
  </si>
  <si>
    <t xml:space="preserve">61108-2055                                                                  </t>
  </si>
  <si>
    <t>Catharsis Productions LLC</t>
  </si>
  <si>
    <t>805 N Milwaukee Ave Ste 200</t>
  </si>
  <si>
    <t xml:space="preserve">60642-1257                                                                                             </t>
  </si>
  <si>
    <t>Sanford Bismarck</t>
  </si>
  <si>
    <t>300 N 7th St</t>
  </si>
  <si>
    <t>Bismarck</t>
  </si>
  <si>
    <t>ND</t>
  </si>
  <si>
    <t xml:space="preserve">58501-4439                                                                                                                    </t>
  </si>
  <si>
    <t>Adapt Pharma Inc</t>
  </si>
  <si>
    <t>PO Box 65030</t>
  </si>
  <si>
    <t xml:space="preserve">21264-5030                                                                                                                   </t>
  </si>
  <si>
    <t>CDI Systems (1992) Ltd</t>
  </si>
  <si>
    <t>8 Hartom St</t>
  </si>
  <si>
    <t>Jerusalem</t>
  </si>
  <si>
    <t>Occupational Health Centers of Kansas PA</t>
  </si>
  <si>
    <t>Concentra Medical Centers</t>
  </si>
  <si>
    <t>PO Box 369</t>
  </si>
  <si>
    <t>Lombard</t>
  </si>
  <si>
    <t xml:space="preserve">60148-0369                                                                      </t>
  </si>
  <si>
    <t>Glenn Rudolphs Auto Body</t>
  </si>
  <si>
    <t>14703 W Whitesbridge Ave</t>
  </si>
  <si>
    <t>Kerman</t>
  </si>
  <si>
    <t xml:space="preserve">93630-1109                                                                                                  </t>
  </si>
  <si>
    <t>Acceleron LLC</t>
  </si>
  <si>
    <t>PO Box 168</t>
  </si>
  <si>
    <t xml:space="preserve">63006-0168                                                                                                                     </t>
  </si>
  <si>
    <t>Good Samaritan Regional Medical Center Auxiliary</t>
  </si>
  <si>
    <t>3600 NW Samaritan Dr</t>
  </si>
  <si>
    <t xml:space="preserve">97330-3700                                                                           </t>
  </si>
  <si>
    <t>Jerusalem Farm Inc</t>
  </si>
  <si>
    <t>520 Garfield Ave</t>
  </si>
  <si>
    <t xml:space="preserve">64124-1514                                                                                                           </t>
  </si>
  <si>
    <t>UC San Diego Foundation</t>
  </si>
  <si>
    <t>9500 Gilman Dr Dept 940</t>
  </si>
  <si>
    <t xml:space="preserve">92093-0940                                                                                                  </t>
  </si>
  <si>
    <t>Sarah Livesay LLC</t>
  </si>
  <si>
    <t>2624 W Belden Ave</t>
  </si>
  <si>
    <t xml:space="preserve">60647-3010                                                                                                               </t>
  </si>
  <si>
    <t>US Central and Southern Province Society of Jesus</t>
  </si>
  <si>
    <t>Sacred Heart Jesuit Community</t>
  </si>
  <si>
    <t>3900 Westminster Pl</t>
  </si>
  <si>
    <t xml:space="preserve">63108-3902                                            </t>
  </si>
  <si>
    <t>Uitgeverij Peeters</t>
  </si>
  <si>
    <t>Bondgenotenlaan 153</t>
  </si>
  <si>
    <t>Leuven</t>
  </si>
  <si>
    <t>AGA Trade Association</t>
  </si>
  <si>
    <t>PO Box 759081</t>
  </si>
  <si>
    <t xml:space="preserve">21275-9081                                                                                                             </t>
  </si>
  <si>
    <t>University of Kentucky</t>
  </si>
  <si>
    <t>College Of Nursing</t>
  </si>
  <si>
    <t>751 Rose St</t>
  </si>
  <si>
    <t xml:space="preserve">40536-0001                                                                                            </t>
  </si>
  <si>
    <t>McHenry County College District #528</t>
  </si>
  <si>
    <t>8900 US Highway 14</t>
  </si>
  <si>
    <t>Crystal Lake</t>
  </si>
  <si>
    <t xml:space="preserve">60012-2796                                                                                      </t>
  </si>
  <si>
    <t>Women Make Movies Incorporated</t>
  </si>
  <si>
    <t>115 W 29th St Rm 1200</t>
  </si>
  <si>
    <t xml:space="preserve">10001-5059                                                                                             </t>
  </si>
  <si>
    <t>GIA Publications Incorporated</t>
  </si>
  <si>
    <t>7404 S Mason Ave</t>
  </si>
  <si>
    <t xml:space="preserve">60638-6230                                                                                                    </t>
  </si>
  <si>
    <t>Friendly Temple Missionary Baptist Church</t>
  </si>
  <si>
    <t>5553 Dr Martin Luther King Dr</t>
  </si>
  <si>
    <t xml:space="preserve">63112-4219                                                                       </t>
  </si>
  <si>
    <t>Tiffany Community Association</t>
  </si>
  <si>
    <t>3811 Blaine Ave</t>
  </si>
  <si>
    <t xml:space="preserve">63110-2607                                                                                                 </t>
  </si>
  <si>
    <t>Pitzer Snodgrass</t>
  </si>
  <si>
    <t>100 S 4th St Ste 400</t>
  </si>
  <si>
    <t xml:space="preserve">63102-1821                                                                                                         </t>
  </si>
  <si>
    <t>Brighthouse Financial</t>
  </si>
  <si>
    <t>PO Box 371487</t>
  </si>
  <si>
    <t xml:space="preserve">15250-7487                                                                                                            </t>
  </si>
  <si>
    <t>Guardian Life Insurance Company</t>
  </si>
  <si>
    <t>PO Box 952366</t>
  </si>
  <si>
    <t xml:space="preserve">63195-2366                                                                                                 </t>
  </si>
  <si>
    <t>City of Richmond Heights</t>
  </si>
  <si>
    <t>1330 S Big Bend Blvd</t>
  </si>
  <si>
    <t xml:space="preserve">63117-2294                                                                                                 </t>
  </si>
  <si>
    <t>Alcuin Club</t>
  </si>
  <si>
    <t>5 Saffron Street</t>
  </si>
  <si>
    <t>Royston Herts</t>
  </si>
  <si>
    <t xml:space="preserve">SG8 9TR                                                                                                                     </t>
  </si>
  <si>
    <t>St Louis Symphony Orchestra</t>
  </si>
  <si>
    <t>718 N Grand Blvd</t>
  </si>
  <si>
    <t xml:space="preserve">63103-1079                                                                                                  </t>
  </si>
  <si>
    <t>St Louis Convention and Visitors Commission</t>
  </si>
  <si>
    <t>Explore St Louis</t>
  </si>
  <si>
    <t>701 Convention Plz Ste 300</t>
  </si>
  <si>
    <t xml:space="preserve">63101-1275                                                        </t>
  </si>
  <si>
    <t>Spire Marketing Inc</t>
  </si>
  <si>
    <t>Accident And Compensation Account</t>
  </si>
  <si>
    <t>Accident And Compensation</t>
  </si>
  <si>
    <t>700 Market St</t>
  </si>
  <si>
    <t xml:space="preserve">63101-1829                                                   </t>
  </si>
  <si>
    <t>National Organization of Nurse Practitioner Faculties</t>
  </si>
  <si>
    <t>1615 M St NW Ste 270</t>
  </si>
  <si>
    <t xml:space="preserve">20036-3209                                                                     </t>
  </si>
  <si>
    <t>Pennsylvania SCDU</t>
  </si>
  <si>
    <t>PO Box 69112</t>
  </si>
  <si>
    <t xml:space="preserve">17106-9112                                                                                                                 </t>
  </si>
  <si>
    <t>American Psychiatric Association</t>
  </si>
  <si>
    <t>PO Box 896647</t>
  </si>
  <si>
    <t xml:space="preserve">28289-6647                                                                                                  </t>
  </si>
  <si>
    <t>University of Vermont and State Agricultural College</t>
  </si>
  <si>
    <t>PO Box 1389</t>
  </si>
  <si>
    <t>Williston</t>
  </si>
  <si>
    <t xml:space="preserve">05495-1389                                                                                </t>
  </si>
  <si>
    <t>Union Pacific Railroad</t>
  </si>
  <si>
    <t>1400 Douglas</t>
  </si>
  <si>
    <t xml:space="preserve">68179-0002                                                                                                                 </t>
  </si>
  <si>
    <t>ECMC</t>
  </si>
  <si>
    <t>PO Box 7096</t>
  </si>
  <si>
    <t>PO Box 16478</t>
  </si>
  <si>
    <t xml:space="preserve">55116-0478                                                                                                                   </t>
  </si>
  <si>
    <t>Elsevier Inc</t>
  </si>
  <si>
    <t>PO Box 9546</t>
  </si>
  <si>
    <t xml:space="preserve">10087-4546                                                                                                                         </t>
  </si>
  <si>
    <t>Colarelli Meyer and Associates Inc</t>
  </si>
  <si>
    <t>7751 Carondelet Ave Ste 302</t>
  </si>
  <si>
    <t>Clayton</t>
  </si>
  <si>
    <t xml:space="preserve">63105-3316                                                                                    </t>
  </si>
  <si>
    <t>Theta Alpha Kappa</t>
  </si>
  <si>
    <t>Saint Vincent College</t>
  </si>
  <si>
    <t>300 Fraser Purchase Rd</t>
  </si>
  <si>
    <t>Latrobe</t>
  </si>
  <si>
    <t xml:space="preserve">15650-2667                                                                                     </t>
  </si>
  <si>
    <t>Association of Pathology Chairs</t>
  </si>
  <si>
    <t>100 W 10th St Ste 603</t>
  </si>
  <si>
    <t>Wilmington</t>
  </si>
  <si>
    <t>DE</t>
  </si>
  <si>
    <t xml:space="preserve">19801-6604                                                                                          </t>
  </si>
  <si>
    <t>Council on Education for Public Health</t>
  </si>
  <si>
    <t>1010 Wayne Ave Ste 220</t>
  </si>
  <si>
    <t xml:space="preserve">20910-5660                                                                               </t>
  </si>
  <si>
    <t>East Central Missouri Area Health Education Center</t>
  </si>
  <si>
    <t>PO Box 5105</t>
  </si>
  <si>
    <t xml:space="preserve">63115-0105                                                                                </t>
  </si>
  <si>
    <t>Metropolitan St Louis Sewer District</t>
  </si>
  <si>
    <t>PO Box 771140</t>
  </si>
  <si>
    <t xml:space="preserve">63177-2140                                                                                            </t>
  </si>
  <si>
    <t>Teton Data Systems</t>
  </si>
  <si>
    <t>dba STAT!Ref</t>
  </si>
  <si>
    <t>PO Box 4798</t>
  </si>
  <si>
    <t>WY</t>
  </si>
  <si>
    <t xml:space="preserve">83001-4798                                                                                                        </t>
  </si>
  <si>
    <t>United States Treasury</t>
  </si>
  <si>
    <t>Debt Management Service</t>
  </si>
  <si>
    <t>PO Box 979101</t>
  </si>
  <si>
    <t xml:space="preserve">63197-0001                                                                                   </t>
  </si>
  <si>
    <t>Contemporary Art Museum St Louis</t>
  </si>
  <si>
    <t>3750 Washington Blvd</t>
  </si>
  <si>
    <t xml:space="preserve">63108-3612                                                                                         </t>
  </si>
  <si>
    <t>Institute for Healthcare Improvement</t>
  </si>
  <si>
    <t>20 University Rd 7th Flr</t>
  </si>
  <si>
    <t>Cambridge</t>
  </si>
  <si>
    <t xml:space="preserve">02138-5815                                                                                   </t>
  </si>
  <si>
    <t>University of San Francisco</t>
  </si>
  <si>
    <t>Attn Student Accounts</t>
  </si>
  <si>
    <t>2130 Fulton St</t>
  </si>
  <si>
    <t xml:space="preserve">94117-1050                                                                             </t>
  </si>
  <si>
    <t>Food Outreach Inc</t>
  </si>
  <si>
    <t>3117 Olive St</t>
  </si>
  <si>
    <t xml:space="preserve">63103-1212                                                                                                               </t>
  </si>
  <si>
    <t>Citizens Electric Corp</t>
  </si>
  <si>
    <t>PO Box 368</t>
  </si>
  <si>
    <t>Perryville</t>
  </si>
  <si>
    <t xml:space="preserve">63775-0368                                                                                                              </t>
  </si>
  <si>
    <t>PricewaterhouseCoopers LLP</t>
  </si>
  <si>
    <t>PO Box 30004</t>
  </si>
  <si>
    <t xml:space="preserve">33630-3004                                                                                                             </t>
  </si>
  <si>
    <t>Donald Danforth Plant Science Center</t>
  </si>
  <si>
    <t>Attn: Finance Dept</t>
  </si>
  <si>
    <t>975 N Warson Rd</t>
  </si>
  <si>
    <t xml:space="preserve">63132-2918                                                                        </t>
  </si>
  <si>
    <t>University of Toronto</t>
  </si>
  <si>
    <t>Faculty of Law</t>
  </si>
  <si>
    <t>78 Queens Park</t>
  </si>
  <si>
    <t xml:space="preserve">M4V 2GZ                                                                                                   </t>
  </si>
  <si>
    <t>E H Angle Society</t>
  </si>
  <si>
    <t xml:space="preserve">66044-7065                                                                                                                    </t>
  </si>
  <si>
    <t>Cancer Support Community</t>
  </si>
  <si>
    <t>1058 Old Des Peres Rd</t>
  </si>
  <si>
    <t xml:space="preserve">63131-1865                                                                                                </t>
  </si>
  <si>
    <t>Miller and Steeno PC</t>
  </si>
  <si>
    <t>Attorneys &amp; Counselors At Law</t>
  </si>
  <si>
    <t>11970 Borman Dr Ste 250</t>
  </si>
  <si>
    <t xml:space="preserve">63146-4153                                                                     </t>
  </si>
  <si>
    <t>George Washington University</t>
  </si>
  <si>
    <t>Milliken Institute</t>
  </si>
  <si>
    <t>950 New Hampshire Ave Ste 600</t>
  </si>
  <si>
    <t xml:space="preserve">20052-0001                                                                   </t>
  </si>
  <si>
    <t>Apple Inc</t>
  </si>
  <si>
    <t>Final Cut Pro 4/Pro Hd</t>
  </si>
  <si>
    <t>PO Box 4014</t>
  </si>
  <si>
    <t>South Bend</t>
  </si>
  <si>
    <t xml:space="preserve">46634-4014                                                                                                    </t>
  </si>
  <si>
    <t>American College of Emergency Physicians</t>
  </si>
  <si>
    <t>4950 W Royal Ln</t>
  </si>
  <si>
    <t>Irving</t>
  </si>
  <si>
    <t xml:space="preserve">75063-2524                                                                                           </t>
  </si>
  <si>
    <t>Allied Interstate</t>
  </si>
  <si>
    <t>18557098 ASA23</t>
  </si>
  <si>
    <t>PO Box 361563</t>
  </si>
  <si>
    <t xml:space="preserve">43236-1563                                                                                                    </t>
  </si>
  <si>
    <t>Wagih Bari Society of St Louis Pathologists</t>
  </si>
  <si>
    <t>751 Grandpas Ln</t>
  </si>
  <si>
    <t xml:space="preserve">63366-1062                                                                                      </t>
  </si>
  <si>
    <t>Walgreens Health Initiatives Inc</t>
  </si>
  <si>
    <t>Walgreens Pharmacy 11239</t>
  </si>
  <si>
    <t>3660 Vista Ave Ste 101</t>
  </si>
  <si>
    <t xml:space="preserve">63110-2540                                                               </t>
  </si>
  <si>
    <t>Marriott International Inc.</t>
  </si>
  <si>
    <t>PO Box 403370</t>
  </si>
  <si>
    <t xml:space="preserve">30384-3370                                                                                                         </t>
  </si>
  <si>
    <t>Missouri Society of Eye Physicians &amp; Surgeons</t>
  </si>
  <si>
    <t>PO Box 1625</t>
  </si>
  <si>
    <t xml:space="preserve">65102-1625                                                                                  </t>
  </si>
  <si>
    <t>Commission Accreditation of Healthcare Mgt Edu</t>
  </si>
  <si>
    <t>6110 Executive Blvd Ste 614</t>
  </si>
  <si>
    <t>Rockville</t>
  </si>
  <si>
    <t xml:space="preserve">20852-3930                                                                      </t>
  </si>
  <si>
    <t>Pekin Life Insurance</t>
  </si>
  <si>
    <t>PO Box 904</t>
  </si>
  <si>
    <t xml:space="preserve">62864-0019                                                                                                              </t>
  </si>
  <si>
    <t>Iter Inc</t>
  </si>
  <si>
    <t>365 5th Ave Ste 5400</t>
  </si>
  <si>
    <t xml:space="preserve">10016-4309                                                                                                                    </t>
  </si>
  <si>
    <t>College of Diplomates of the American Board of Orthodontics</t>
  </si>
  <si>
    <t>2131 Meadow Valley Dr</t>
  </si>
  <si>
    <t>Wright City</t>
  </si>
  <si>
    <t xml:space="preserve">63390-6524                                                             </t>
  </si>
  <si>
    <t>American Express Business Travel</t>
  </si>
  <si>
    <t>Attn Express Mail Remittance Processing</t>
  </si>
  <si>
    <t>Attn Express Mail Remittance</t>
  </si>
  <si>
    <t>20500 Belshaw Ave</t>
  </si>
  <si>
    <t>Carson</t>
  </si>
  <si>
    <t xml:space="preserve">90746-3506                              </t>
  </si>
  <si>
    <t>Canisius College of Buffalo NY</t>
  </si>
  <si>
    <t>2001 Main St</t>
  </si>
  <si>
    <t>Buffalo</t>
  </si>
  <si>
    <t xml:space="preserve">14208-1098                                                                                                       </t>
  </si>
  <si>
    <t>National Alliance of Concurrent Enrollment Partnerships</t>
  </si>
  <si>
    <t>PO Box 578</t>
  </si>
  <si>
    <t>Chapel Hill</t>
  </si>
  <si>
    <t xml:space="preserve">27514-0578                                                                            </t>
  </si>
  <si>
    <t>Beta Gamma Sigma</t>
  </si>
  <si>
    <t>11814 Borman Dr</t>
  </si>
  <si>
    <t xml:space="preserve">63146-4113                                                                                                              </t>
  </si>
  <si>
    <t>St Louis Integrated Health Network</t>
  </si>
  <si>
    <t>1520 Market St Rm 4034</t>
  </si>
  <si>
    <t xml:space="preserve">63103-2632                                                                                     </t>
  </si>
  <si>
    <t>Board of Trustees of Southern Illinois University</t>
  </si>
  <si>
    <t>Office Of Educational Outreach</t>
  </si>
  <si>
    <t>PO Box 1084</t>
  </si>
  <si>
    <t xml:space="preserve">62026-0001                                                  </t>
  </si>
  <si>
    <t>Community College District of Jefferson County Missouri</t>
  </si>
  <si>
    <t>Jefferson College Law</t>
  </si>
  <si>
    <t>1000 Viking Dr</t>
  </si>
  <si>
    <t xml:space="preserve">63050-2441                                                     </t>
  </si>
  <si>
    <t>James C Anderson and Associates</t>
  </si>
  <si>
    <t>Toberson Group</t>
  </si>
  <si>
    <t>884 Woods Mill Rd Ste 207</t>
  </si>
  <si>
    <t xml:space="preserve">63011-3657                                                                           </t>
  </si>
  <si>
    <t>University of Texas at Austin</t>
  </si>
  <si>
    <t>Jackson School of Geosciences</t>
  </si>
  <si>
    <t>2275 Speedway Stop C9000</t>
  </si>
  <si>
    <t xml:space="preserve">78712-1127                                                                </t>
  </si>
  <si>
    <t>YRC Inc</t>
  </si>
  <si>
    <t>Yrc Freight</t>
  </si>
  <si>
    <t>PO Box 93151</t>
  </si>
  <si>
    <t xml:space="preserve">60673-0001                                                                                                                   </t>
  </si>
  <si>
    <t>Apted Hulling Inc</t>
  </si>
  <si>
    <t>Dwight Davis Tennis Center</t>
  </si>
  <si>
    <t>5620 Grand Dr</t>
  </si>
  <si>
    <t xml:space="preserve">63112-1017                                                                                     </t>
  </si>
  <si>
    <t>US Department of Agriculture</t>
  </si>
  <si>
    <t>Usda Nfc-Fmmi Cod Collections</t>
  </si>
  <si>
    <t>PO Box 979099</t>
  </si>
  <si>
    <t xml:space="preserve">63197-0001                                                                       </t>
  </si>
  <si>
    <t>Universidad Centroamericana Jose Simeon Canas</t>
  </si>
  <si>
    <t>Boulevard Los Proceres</t>
  </si>
  <si>
    <t>Antiguo Cuscatlan La Libertad</t>
  </si>
  <si>
    <t xml:space="preserve">                                                                    </t>
  </si>
  <si>
    <t>The Simon Law Firm P.C.</t>
  </si>
  <si>
    <t>800 Market St Ste 1700</t>
  </si>
  <si>
    <t xml:space="preserve">63101-2506                                                                                                </t>
  </si>
  <si>
    <t>JoAnn Kaplan</t>
  </si>
  <si>
    <t>312 Wildbrier Dr</t>
  </si>
  <si>
    <t xml:space="preserve">63011-2622                                                                                                                     </t>
  </si>
  <si>
    <t>Hoop Scoop Inc</t>
  </si>
  <si>
    <t>PO Box 37122</t>
  </si>
  <si>
    <t xml:space="preserve">40233-7122                                                                                                                    </t>
  </si>
  <si>
    <t>Illinois Department of Public Aid</t>
  </si>
  <si>
    <t>PO Box 19101</t>
  </si>
  <si>
    <t xml:space="preserve">62794-9101                                                                                                </t>
  </si>
  <si>
    <t>Disney Destinations LLC</t>
  </si>
  <si>
    <t>Dba Walt Disney World Group Reservations</t>
  </si>
  <si>
    <t>Dba Walt Disney World Group</t>
  </si>
  <si>
    <t>PO Box 10345</t>
  </si>
  <si>
    <t xml:space="preserve">32830-0345                                           </t>
  </si>
  <si>
    <t>Chris' Safety and Health Consulting Inc</t>
  </si>
  <si>
    <t>419 Lincoln Terrace Ct</t>
  </si>
  <si>
    <t xml:space="preserve">63026-3981                                                                                     </t>
  </si>
  <si>
    <t>Walgreens</t>
  </si>
  <si>
    <t>3937 Vogel Rd</t>
  </si>
  <si>
    <t xml:space="preserve">63010-3798                                                                                                                            </t>
  </si>
  <si>
    <t>OCLC Online Computer Library Center Inc</t>
  </si>
  <si>
    <t>PO Box 5405</t>
  </si>
  <si>
    <t xml:space="preserve">80217-5405                                                                                                </t>
  </si>
  <si>
    <t>Fundacion Ciudad Del Saber</t>
  </si>
  <si>
    <t>Building 104 Vicente Bonilla St</t>
  </si>
  <si>
    <t>Clayton Ancon</t>
  </si>
  <si>
    <t>Panama City</t>
  </si>
  <si>
    <t xml:space="preserve">                                                                                   </t>
  </si>
  <si>
    <t>L'Arche</t>
  </si>
  <si>
    <t>151 S Ann St</t>
  </si>
  <si>
    <t>Mobile</t>
  </si>
  <si>
    <t xml:space="preserve">36604-2302                                                                                                                               </t>
  </si>
  <si>
    <t>Country Insurance and Financial Services</t>
  </si>
  <si>
    <t>PO Box 10870</t>
  </si>
  <si>
    <t xml:space="preserve">33757-8801                                                                                          </t>
  </si>
  <si>
    <t>Michigan SDU</t>
  </si>
  <si>
    <t>PO Box 30350</t>
  </si>
  <si>
    <t>Lansing</t>
  </si>
  <si>
    <t xml:space="preserve">48909-7850                                                                                                                         </t>
  </si>
  <si>
    <t>American Urological Association Inc</t>
  </si>
  <si>
    <t>1000 Corporate Blvd</t>
  </si>
  <si>
    <t>Linthicum Heights</t>
  </si>
  <si>
    <t xml:space="preserve">21090-2260                                                                                 </t>
  </si>
  <si>
    <t>US Nuclear Regulatory Commission</t>
  </si>
  <si>
    <t>PO Box 979051</t>
  </si>
  <si>
    <t xml:space="preserve">63197-9000                                                                                                </t>
  </si>
  <si>
    <t>National Association of Social Workers Inc</t>
  </si>
  <si>
    <t>Copyrights And Permissions</t>
  </si>
  <si>
    <t>750 1st St NE Ste 800</t>
  </si>
  <si>
    <t xml:space="preserve">20002-8011                                                     </t>
  </si>
  <si>
    <t>Videonine-Medianine Inc</t>
  </si>
  <si>
    <t xml:space="preserve">63108-3601                                                                                                         </t>
  </si>
  <si>
    <t>Catholic Health Association of the United States</t>
  </si>
  <si>
    <t>PO Box 500082</t>
  </si>
  <si>
    <t xml:space="preserve">63150-0082                                                                                </t>
  </si>
  <si>
    <t>Thomson Reuters Canada Limited</t>
  </si>
  <si>
    <t>Carswell Division</t>
  </si>
  <si>
    <t>PO Box 1991 Station B</t>
  </si>
  <si>
    <t xml:space="preserve">M5T 3G1                                                                                </t>
  </si>
  <si>
    <t>Association of Medical School Pediatric Dept Chairs</t>
  </si>
  <si>
    <t>6728 Old McLean Village Dr</t>
  </si>
  <si>
    <t>Mc Lean</t>
  </si>
  <si>
    <t xml:space="preserve">22101-3906                                                                    </t>
  </si>
  <si>
    <t>Missouri Assn of Colleges for Teacher Education</t>
  </si>
  <si>
    <t>5606 W 154th St</t>
  </si>
  <si>
    <t>Overland Park</t>
  </si>
  <si>
    <t xml:space="preserve">66223-3648                                                                             </t>
  </si>
  <si>
    <t>Mergent Inc</t>
  </si>
  <si>
    <t>580 Kingsley Park Dr</t>
  </si>
  <si>
    <t>Fort Mill</t>
  </si>
  <si>
    <t xml:space="preserve">29715-6403                                                                                                                </t>
  </si>
  <si>
    <t>Association of Schools and Programs of Public Health</t>
  </si>
  <si>
    <t>1900 M St NW Ste 710</t>
  </si>
  <si>
    <t xml:space="preserve">20036-3504                                                                      </t>
  </si>
  <si>
    <t>Experimental Aircraft Assn</t>
  </si>
  <si>
    <t>Attn A/R</t>
  </si>
  <si>
    <t>PO Box 3043</t>
  </si>
  <si>
    <t>Oshkosh</t>
  </si>
  <si>
    <t xml:space="preserve">54903-3043                                                                                                    </t>
  </si>
  <si>
    <t>Allergan USA Inc</t>
  </si>
  <si>
    <t>2525 Dupont Dr</t>
  </si>
  <si>
    <t>Irvine</t>
  </si>
  <si>
    <t xml:space="preserve">92612-1599                                                                                                                    </t>
  </si>
  <si>
    <t>Pennsylvania State University</t>
  </si>
  <si>
    <t>Penn State Beaver</t>
  </si>
  <si>
    <t>100 University Dr</t>
  </si>
  <si>
    <t>Monaca</t>
  </si>
  <si>
    <t xml:space="preserve">15061-2799                                                                                   </t>
  </si>
  <si>
    <t>Washington University</t>
  </si>
  <si>
    <t>Attn: Marion Harris</t>
  </si>
  <si>
    <t>Campus Box 8225</t>
  </si>
  <si>
    <t>550 S Kingshighway Blvd</t>
  </si>
  <si>
    <t xml:space="preserve">63110-1093                                                               </t>
  </si>
  <si>
    <t>Foundation for Post-Acute and Long-Term Care Medicine Inc</t>
  </si>
  <si>
    <t>10500 Little Patuxent Pkwy</t>
  </si>
  <si>
    <t>Ste 210</t>
  </si>
  <si>
    <t xml:space="preserve">21044-3596                                                      </t>
  </si>
  <si>
    <t>Central Assn of Obstetricians &amp; Gynecologists</t>
  </si>
  <si>
    <t>Rochelle Hickel</t>
  </si>
  <si>
    <t>PO Box 3010</t>
  </si>
  <si>
    <t>Minot</t>
  </si>
  <si>
    <t xml:space="preserve">58702-3010                                                                            </t>
  </si>
  <si>
    <t>National Deans and Directors of Grad Social Work Admissions</t>
  </si>
  <si>
    <t>Tim Colenback-University of Mi</t>
  </si>
  <si>
    <t>1080 S University Ave</t>
  </si>
  <si>
    <t xml:space="preserve">48109-1106                                 </t>
  </si>
  <si>
    <t>Microtek Document Imaging Systems Inc</t>
  </si>
  <si>
    <t>2282 Weldon Pkwy</t>
  </si>
  <si>
    <t xml:space="preserve">63146-3217                                                                                        </t>
  </si>
  <si>
    <t>American Occupational Therapy Assn Inc</t>
  </si>
  <si>
    <t>Ot Search Subscription Service</t>
  </si>
  <si>
    <t>4720 Montgomery Ln Ste 200</t>
  </si>
  <si>
    <t xml:space="preserve">20814-3449                                                  </t>
  </si>
  <si>
    <t>Pattonville School District</t>
  </si>
  <si>
    <t>11097 Saint Charles Rock Rd</t>
  </si>
  <si>
    <t>Saint Ann</t>
  </si>
  <si>
    <t xml:space="preserve">63074-1509                                                                                         </t>
  </si>
  <si>
    <t>American Society for Biochemistry and Molecular Biology</t>
  </si>
  <si>
    <t>PO Box 418047</t>
  </si>
  <si>
    <t xml:space="preserve">02241-8047                                                                              </t>
  </si>
  <si>
    <t>Society for Pediatric Pathology</t>
  </si>
  <si>
    <t>355 Lexington Ave Fl 15</t>
  </si>
  <si>
    <t xml:space="preserve">10017-6603                                                                                          </t>
  </si>
  <si>
    <t>Centering Healthcare Institute Inc</t>
  </si>
  <si>
    <t>89 South St Ste 404</t>
  </si>
  <si>
    <t xml:space="preserve">02111-2648                                                                                             </t>
  </si>
  <si>
    <t>Concorde</t>
  </si>
  <si>
    <t>11 Penn Ctr</t>
  </si>
  <si>
    <t>1635 Market St Fl 12</t>
  </si>
  <si>
    <t xml:space="preserve">19103-2219                                                                                                     </t>
  </si>
  <si>
    <t>Universidad Alberto Hurtado</t>
  </si>
  <si>
    <t>Almirante Barroso 10</t>
  </si>
  <si>
    <t>Santiago</t>
  </si>
  <si>
    <t>Construction Industry Laborers</t>
  </si>
  <si>
    <t>Welfare Fund</t>
  </si>
  <si>
    <t>6405 Metcalf Ave Ste 200</t>
  </si>
  <si>
    <t>Mission</t>
  </si>
  <si>
    <t xml:space="preserve">66202-4084                                                                               </t>
  </si>
  <si>
    <t>Archimages</t>
  </si>
  <si>
    <t>143 W Clinton Pl</t>
  </si>
  <si>
    <t xml:space="preserve">63122-5809                                                                                                                   </t>
  </si>
  <si>
    <t>AC International Education Group Ltd</t>
  </si>
  <si>
    <t>C19A Ruizhihuating Ruyi Road</t>
  </si>
  <si>
    <t>Longgang District</t>
  </si>
  <si>
    <t>Shenzhen</t>
  </si>
  <si>
    <t>Circle System Inc</t>
  </si>
  <si>
    <t>1001 4th Ave Ste 3200</t>
  </si>
  <si>
    <t xml:space="preserve">98154-1003                                                                                                           </t>
  </si>
  <si>
    <t>Children's Hospital of Philadelphia</t>
  </si>
  <si>
    <t>Attn: 22q Center</t>
  </si>
  <si>
    <t>Clinical Genetics Room 8C05</t>
  </si>
  <si>
    <t>3401 Civic Center Blvd</t>
  </si>
  <si>
    <t xml:space="preserve">19104-4319                                        </t>
  </si>
  <si>
    <t>Cobalt Studios</t>
  </si>
  <si>
    <t>PO Box 79</t>
  </si>
  <si>
    <t>White Lake</t>
  </si>
  <si>
    <t xml:space="preserve">12786-0079                                                                                                                       </t>
  </si>
  <si>
    <t>Wells Fargo Home Mortgage</t>
  </si>
  <si>
    <t>PO Box 14538</t>
  </si>
  <si>
    <t xml:space="preserve">50306-3538                                                                                                         </t>
  </si>
  <si>
    <t>Burgeon Education</t>
  </si>
  <si>
    <t>23H Cross Region Plaza</t>
  </si>
  <si>
    <t>No 899 Lingling Rd</t>
  </si>
  <si>
    <t>Shanghai</t>
  </si>
  <si>
    <t xml:space="preserve">                                                                                                   </t>
  </si>
  <si>
    <t>Columbia University Press</t>
  </si>
  <si>
    <t>61 W 62nd St Fl 3</t>
  </si>
  <si>
    <t xml:space="preserve">10023-7015                                                                                                      </t>
  </si>
  <si>
    <t>Wells Fargo</t>
  </si>
  <si>
    <t>Real Estate Group</t>
  </si>
  <si>
    <t>MAC N9303-110</t>
  </si>
  <si>
    <t>Dept 8696</t>
  </si>
  <si>
    <t xml:space="preserve">90084-0001                                                                                           </t>
  </si>
  <si>
    <t>Quincy Public School District</t>
  </si>
  <si>
    <t>1416 Maine St</t>
  </si>
  <si>
    <t>Quincy</t>
  </si>
  <si>
    <t xml:space="preserve">62301-4261                                                                                                        </t>
  </si>
  <si>
    <t>Faircount LLC</t>
  </si>
  <si>
    <t>4915 W Cypress St Ste 200</t>
  </si>
  <si>
    <t xml:space="preserve">33607-3846                                                                                                             </t>
  </si>
  <si>
    <t>U S Department of State</t>
  </si>
  <si>
    <t>PO Box 979037</t>
  </si>
  <si>
    <t xml:space="preserve">63197-9000                                                                                                         </t>
  </si>
  <si>
    <t>Raintree Plantation Property Owners Association Inc</t>
  </si>
  <si>
    <t>5998 State Road B</t>
  </si>
  <si>
    <t xml:space="preserve">63050-3046                                                                           </t>
  </si>
  <si>
    <t>Professional Funeral Director Services Inc</t>
  </si>
  <si>
    <t>6808 W Florissant Ave</t>
  </si>
  <si>
    <t xml:space="preserve">63136-3637                                                                              </t>
  </si>
  <si>
    <t>Education International Cooperation Group LTD</t>
  </si>
  <si>
    <t>Unit 21 12 Miramar Tower</t>
  </si>
  <si>
    <t>132-134 Nathan Road</t>
  </si>
  <si>
    <t>Tsim Shat Sui</t>
  </si>
  <si>
    <t>Kowloon Hong Kong</t>
  </si>
  <si>
    <t xml:space="preserve">                                              </t>
  </si>
  <si>
    <t>Daemen College</t>
  </si>
  <si>
    <t>Admisions Office</t>
  </si>
  <si>
    <t>4380 Main St</t>
  </si>
  <si>
    <t xml:space="preserve">14226-3592                                                                                                       </t>
  </si>
  <si>
    <t>Pulitzer Arts Foundation</t>
  </si>
  <si>
    <t>3716 Washington Blvd</t>
  </si>
  <si>
    <t xml:space="preserve">63108-3612                                                                                                 </t>
  </si>
  <si>
    <t>Beauvais Manor</t>
  </si>
  <si>
    <t>3625 Magnolia Ave</t>
  </si>
  <si>
    <t xml:space="preserve">63110-4048                                                                                                              </t>
  </si>
  <si>
    <t>Atlas Systems Inc</t>
  </si>
  <si>
    <t>5712 Cleveland St Ste 200</t>
  </si>
  <si>
    <t>Virginia Beach</t>
  </si>
  <si>
    <t xml:space="preserve">23462-1780                                                                                                </t>
  </si>
  <si>
    <t>Home State Health Plan</t>
  </si>
  <si>
    <t>PO Box 952790</t>
  </si>
  <si>
    <t xml:space="preserve">63195-2790                                                                                                          </t>
  </si>
  <si>
    <t>Riezman Berger PC</t>
  </si>
  <si>
    <t>7700 Bonhomme Ave Fl 7</t>
  </si>
  <si>
    <t xml:space="preserve">63105-1960                                                                                                      </t>
  </si>
  <si>
    <t>Cassidy Cataloguing Services Inc</t>
  </si>
  <si>
    <t>248 W Main St Ste 2</t>
  </si>
  <si>
    <t>Rockaway</t>
  </si>
  <si>
    <t xml:space="preserve">07866-3327                                                                                             </t>
  </si>
  <si>
    <t>Hamilton Southeastern Schools</t>
  </si>
  <si>
    <t>Hamilton Southeastern High School</t>
  </si>
  <si>
    <t>Hamilton Southeastern High</t>
  </si>
  <si>
    <t>13910 E 126th St</t>
  </si>
  <si>
    <t>Fishers</t>
  </si>
  <si>
    <t xml:space="preserve">46037-9781                                         </t>
  </si>
  <si>
    <t>ABLE Families Inc</t>
  </si>
  <si>
    <t>PO Box 1249</t>
  </si>
  <si>
    <t>Kermit</t>
  </si>
  <si>
    <t xml:space="preserve">25674-1249                                                                                                                      </t>
  </si>
  <si>
    <t>Weilmuenster and Keck PC</t>
  </si>
  <si>
    <t>3201 W Main St</t>
  </si>
  <si>
    <t xml:space="preserve">62226-6619                                                                                                        </t>
  </si>
  <si>
    <t>State of South Dakota</t>
  </si>
  <si>
    <t>PO Box 2201 SAD323</t>
  </si>
  <si>
    <t>Brookings</t>
  </si>
  <si>
    <t>SD</t>
  </si>
  <si>
    <t xml:space="preserve">57007-0001                                                                                                        </t>
  </si>
  <si>
    <t>Insurance Program Managers Group</t>
  </si>
  <si>
    <t xml:space="preserve">60174-5208                                                                                               </t>
  </si>
  <si>
    <t>BTB Imaging LLC</t>
  </si>
  <si>
    <t>3409 Roger Pl</t>
  </si>
  <si>
    <t xml:space="preserve">63116-3723                                                                                                                 </t>
  </si>
  <si>
    <t>Frederick A Coller Surgical Society</t>
  </si>
  <si>
    <t>2101 Taubman Center Spc 5346</t>
  </si>
  <si>
    <t>1500 E Medical Center Dr</t>
  </si>
  <si>
    <t xml:space="preserve">48109-5000                                                        </t>
  </si>
  <si>
    <t>Mission St Louis</t>
  </si>
  <si>
    <t>3108 N Grand Blvd</t>
  </si>
  <si>
    <t xml:space="preserve">63107-2502                                                                                                            </t>
  </si>
  <si>
    <t>McGraw Hill Global Education Inc</t>
  </si>
  <si>
    <t>McGraw Hill Tegrity Accounting</t>
  </si>
  <si>
    <t>PO Box 786167</t>
  </si>
  <si>
    <t xml:space="preserve">19178-0001                                                                 </t>
  </si>
  <si>
    <t>Optum Health Bank</t>
  </si>
  <si>
    <t>PO Box 271629</t>
  </si>
  <si>
    <t xml:space="preserve">84127-1629                                                                                                            </t>
  </si>
  <si>
    <t>Harris Legal Services LLC</t>
  </si>
  <si>
    <t>8008 Carondelet Ave Ste 303</t>
  </si>
  <si>
    <t xml:space="preserve">63105-1724                                                                                         </t>
  </si>
  <si>
    <t>Missouri Chapter of American College of Emergency Physicians</t>
  </si>
  <si>
    <t>PO Box 1028</t>
  </si>
  <si>
    <t xml:space="preserve">65102-1028                                                                   </t>
  </si>
  <si>
    <t>Mason Medstat Media LLC</t>
  </si>
  <si>
    <t>Little Medical School</t>
  </si>
  <si>
    <t>707 N New Ballas Rd</t>
  </si>
  <si>
    <t xml:space="preserve">63141-6715                                                                              </t>
  </si>
  <si>
    <t>Total Administrative</t>
  </si>
  <si>
    <t>2302 International Ln Ste 200</t>
  </si>
  <si>
    <t xml:space="preserve">53704-3157                                                                                                </t>
  </si>
  <si>
    <t>Towers Watson Delaware Inc</t>
  </si>
  <si>
    <t>28025 Network Pl</t>
  </si>
  <si>
    <t xml:space="preserve">60673-1280                                                                                                       </t>
  </si>
  <si>
    <t>American General Life Insurance Co</t>
  </si>
  <si>
    <t>2727A Allen Pkwy Apt 4-G7</t>
  </si>
  <si>
    <t xml:space="preserve">77019-2107                                                                                      </t>
  </si>
  <si>
    <t>Carmody Creative Photography</t>
  </si>
  <si>
    <t>950 Providence Ave</t>
  </si>
  <si>
    <t xml:space="preserve">63119-2041                                                                                               </t>
  </si>
  <si>
    <t>WI SCTF</t>
  </si>
  <si>
    <t>PO Box 74400</t>
  </si>
  <si>
    <t xml:space="preserve">53274-0001                                                                                                                            </t>
  </si>
  <si>
    <t>Confluence Academy</t>
  </si>
  <si>
    <t>611 N 10th St Ste 525</t>
  </si>
  <si>
    <t xml:space="preserve">63101-1287                                                                                                      </t>
  </si>
  <si>
    <t>Harvest FRC Inc</t>
  </si>
  <si>
    <t>82 Colonial Dr</t>
  </si>
  <si>
    <t>Newtown</t>
  </si>
  <si>
    <t xml:space="preserve">18940-1102                                                                                                                    </t>
  </si>
  <si>
    <t>St Martin De Porress</t>
  </si>
  <si>
    <t>Cor Partridge and Vernon Streets</t>
  </si>
  <si>
    <t>Belize City</t>
  </si>
  <si>
    <t xml:space="preserve">                                                                                                     </t>
  </si>
  <si>
    <t>Navient Solutions Inc</t>
  </si>
  <si>
    <t>PO Box 530267</t>
  </si>
  <si>
    <t xml:space="preserve">30353-0267                                                                                                               </t>
  </si>
  <si>
    <t>Society of Corporate Compliance and Ethics and Health Care</t>
  </si>
  <si>
    <t>Compliance Association</t>
  </si>
  <si>
    <t>6500 Barrie Rd Ste 250</t>
  </si>
  <si>
    <t xml:space="preserve">55435-2358                                       </t>
  </si>
  <si>
    <t>Psychotherapy.net</t>
  </si>
  <si>
    <t>150 Shoreline Hwy Ste A1</t>
  </si>
  <si>
    <t>Mill Valley</t>
  </si>
  <si>
    <t xml:space="preserve">94941-3634                                                                                                    </t>
  </si>
  <si>
    <t>Hootsuite Media</t>
  </si>
  <si>
    <t>5 East 8th Avenue</t>
  </si>
  <si>
    <t>Vancouver</t>
  </si>
  <si>
    <t>BC</t>
  </si>
  <si>
    <t xml:space="preserve">V5T 1R6                                                                                                                  </t>
  </si>
  <si>
    <t>Habitat for Humanity Saint Louis</t>
  </si>
  <si>
    <t>3830 S Grand Blvd</t>
  </si>
  <si>
    <t xml:space="preserve">63118-3412                                                                                            </t>
  </si>
  <si>
    <t>Cortex Innovation Community</t>
  </si>
  <si>
    <t>4320 Forest Park Ave Ste 201</t>
  </si>
  <si>
    <t xml:space="preserve">63108-2979                                                                                      </t>
  </si>
  <si>
    <t>TSI Global Companies LLC</t>
  </si>
  <si>
    <t>700 Fountain Lakes Blvd</t>
  </si>
  <si>
    <t xml:space="preserve">63301-4353                                                                                            </t>
  </si>
  <si>
    <t>Korzendorfer and Bick Picture Frame LLC</t>
  </si>
  <si>
    <t>1910 Olive St</t>
  </si>
  <si>
    <t xml:space="preserve">63103-1626                                                                                         </t>
  </si>
  <si>
    <t>Willow Springs R-IV School District</t>
  </si>
  <si>
    <t>215 W 4th St</t>
  </si>
  <si>
    <t>Willow Springs</t>
  </si>
  <si>
    <t xml:space="preserve">65793-1155                                                                                           </t>
  </si>
  <si>
    <t>Luxstar Studios LLC</t>
  </si>
  <si>
    <t>4615 Robbins Grove Dr</t>
  </si>
  <si>
    <t xml:space="preserve">63034-2840                                                                                                      </t>
  </si>
  <si>
    <t>Diana S Daugherty Chapter 13 Trustee</t>
  </si>
  <si>
    <t>PO Box 2112</t>
  </si>
  <si>
    <t>Memphis</t>
  </si>
  <si>
    <t xml:space="preserve">38101-2112                                                                                                  </t>
  </si>
  <si>
    <t>Lovelace Farms Inc</t>
  </si>
  <si>
    <t>Forrest Keeling Nursery</t>
  </si>
  <si>
    <t>PO Box 135</t>
  </si>
  <si>
    <t>Elsberry</t>
  </si>
  <si>
    <t xml:space="preserve">63343-0135                                                                                             </t>
  </si>
  <si>
    <t>C&amp;P's Brand Identity LLC</t>
  </si>
  <si>
    <t>11928 Hargrove Dr</t>
  </si>
  <si>
    <t xml:space="preserve">63131-4105                                                                                                    </t>
  </si>
  <si>
    <t>New Alternative for LGBT Homeless Youth</t>
  </si>
  <si>
    <t>410 W 40th St</t>
  </si>
  <si>
    <t xml:space="preserve">10018-1204                                                                                            </t>
  </si>
  <si>
    <t>Barton Law Group</t>
  </si>
  <si>
    <t>17600 Chesterfield Airport Rd</t>
  </si>
  <si>
    <t xml:space="preserve">63005-1246                                                                                        </t>
  </si>
  <si>
    <t>East Side Heart &amp; Home Family Center</t>
  </si>
  <si>
    <t>705 Summit Ave</t>
  </si>
  <si>
    <t xml:space="preserve">62201-1358                                                                                      </t>
  </si>
  <si>
    <t>University of Kansas Center for Research</t>
  </si>
  <si>
    <t>2385 Irving Hill Rd</t>
  </si>
  <si>
    <t xml:space="preserve">66045-7552                                                                                     </t>
  </si>
  <si>
    <t>BBC and Torgerson LLC</t>
  </si>
  <si>
    <t>Dba Hampton Inn Bloomington</t>
  </si>
  <si>
    <t>103 15th Ave NW Ste 200</t>
  </si>
  <si>
    <t>Willmar</t>
  </si>
  <si>
    <t xml:space="preserve">56201-2195                                                                          </t>
  </si>
  <si>
    <t>Crossroads Anti-Racism Organizing &amp; Training</t>
  </si>
  <si>
    <t>PO Box 160</t>
  </si>
  <si>
    <t>Vineburg</t>
  </si>
  <si>
    <t xml:space="preserve">95487-0160                                                                                          </t>
  </si>
  <si>
    <t>Cigna Health and Life Insurance</t>
  </si>
  <si>
    <t xml:space="preserve">78755-3010                                                                                                       </t>
  </si>
  <si>
    <t>Flying Monkeys LLC</t>
  </si>
  <si>
    <t>Colleagues On Call</t>
  </si>
  <si>
    <t>17200 Chenal Pkwy Ste 300-114</t>
  </si>
  <si>
    <t xml:space="preserve">72223-5958                                                                            </t>
  </si>
  <si>
    <t>LaunchCode Foundation</t>
  </si>
  <si>
    <t>4811 Delmar Blvd</t>
  </si>
  <si>
    <t xml:space="preserve">63108-1721                                                                                                        </t>
  </si>
  <si>
    <t>K.E. Missouri I LLC</t>
  </si>
  <si>
    <t>Jani King</t>
  </si>
  <si>
    <t>PO Box 650002</t>
  </si>
  <si>
    <t xml:space="preserve">75265-0002                                                                                                         </t>
  </si>
  <si>
    <t>Liberty Healthshare</t>
  </si>
  <si>
    <t>4845 Fulton Dr NW Ste 1</t>
  </si>
  <si>
    <t xml:space="preserve">44718-2300                                                                                                        </t>
  </si>
  <si>
    <t>Dawson Law Firm LLC</t>
  </si>
  <si>
    <t>10024 Office Center Ave</t>
  </si>
  <si>
    <t>Ste 202</t>
  </si>
  <si>
    <t xml:space="preserve">63128-1381                                                                                            </t>
  </si>
  <si>
    <t>NHC Advantage</t>
  </si>
  <si>
    <t>10900 Nuckols Rd Ste 110</t>
  </si>
  <si>
    <t>Glen Allen</t>
  </si>
  <si>
    <t xml:space="preserve">23060-9246                                                                                                         </t>
  </si>
  <si>
    <t>Stringer Content Development Services LLC</t>
  </si>
  <si>
    <t>7 Sunny View Ct</t>
  </si>
  <si>
    <t>Saint Peters</t>
  </si>
  <si>
    <t xml:space="preserve">63376-3544                                                                                    </t>
  </si>
  <si>
    <t>Ashland Parent Teacher Organization</t>
  </si>
  <si>
    <t>Grades K-12 Inc</t>
  </si>
  <si>
    <t>65 E Union St</t>
  </si>
  <si>
    <t>Ashland</t>
  </si>
  <si>
    <t xml:space="preserve">01721-1761                                                                                  </t>
  </si>
  <si>
    <t>St Louis Modern Chinese School</t>
  </si>
  <si>
    <t>6710 Clayton Rd</t>
  </si>
  <si>
    <t xml:space="preserve">63117-1604                                                                                                </t>
  </si>
  <si>
    <t>Association of College Counselors in Independent Schools Inc</t>
  </si>
  <si>
    <t>118 Blood Rd</t>
  </si>
  <si>
    <t>Groton</t>
  </si>
  <si>
    <t xml:space="preserve">01471-0001                                                                          </t>
  </si>
  <si>
    <t>Blue Cross Blue Shield of Puerto Rico</t>
  </si>
  <si>
    <t>PO Box 363628</t>
  </si>
  <si>
    <t>San Juan</t>
  </si>
  <si>
    <t xml:space="preserve">00936-3628                                                                                              </t>
  </si>
  <si>
    <t>Renaissance Management and Training Solutions LLP</t>
  </si>
  <si>
    <t>1815 N 78th Pl</t>
  </si>
  <si>
    <t xml:space="preserve">66112-2052                                                                              </t>
  </si>
  <si>
    <t>MissouriCare</t>
  </si>
  <si>
    <t xml:space="preserve">19178-0001                                                                                                                </t>
  </si>
  <si>
    <t>Society for Developmental &amp; Behavioral Pediatrics</t>
  </si>
  <si>
    <t xml:space="preserve">22101-3906                                                                      </t>
  </si>
  <si>
    <t>Fusion Living LLC</t>
  </si>
  <si>
    <t>1417 Plantation Manor Ct</t>
  </si>
  <si>
    <t xml:space="preserve">63303-1232                                                                                                   </t>
  </si>
  <si>
    <t>Metropolitan Park and Recreation District</t>
  </si>
  <si>
    <t>Great Rivers Greenway District</t>
  </si>
  <si>
    <t>6174 Delmar Blvd Apt A</t>
  </si>
  <si>
    <t xml:space="preserve">63112-1204                                                </t>
  </si>
  <si>
    <t>Health Care Service Corporation</t>
  </si>
  <si>
    <t>Refund Dept/Cash Disbursements</t>
  </si>
  <si>
    <t>25718 Network Pl</t>
  </si>
  <si>
    <t xml:space="preserve">60673-0001                                                                    </t>
  </si>
  <si>
    <t>Kim Love Productions LLC</t>
  </si>
  <si>
    <t>4091 Finney Ave Apt 204</t>
  </si>
  <si>
    <t xml:space="preserve">63113-3456                                                                                              </t>
  </si>
  <si>
    <t>Ultraeye LLC</t>
  </si>
  <si>
    <t>5925 Almeda Rd Unit 11910</t>
  </si>
  <si>
    <t xml:space="preserve">77004-7682                                                                                                            </t>
  </si>
  <si>
    <t>Sentinel Security Life Insurance Co</t>
  </si>
  <si>
    <t>PO Box 27248</t>
  </si>
  <si>
    <t xml:space="preserve">84127-0248                                                                                           </t>
  </si>
  <si>
    <t>Tondeur Diffusion sa Papyrus</t>
  </si>
  <si>
    <t>Rue du Pre aux oies 303</t>
  </si>
  <si>
    <t>Bruxelles-Belgique</t>
  </si>
  <si>
    <t>BioTelemetry</t>
  </si>
  <si>
    <t>Cardionet LLC</t>
  </si>
  <si>
    <t>PO Box 417570</t>
  </si>
  <si>
    <t xml:space="preserve">02241-0001                                                                                                            </t>
  </si>
  <si>
    <t>Malawi Orthopaedic Association</t>
  </si>
  <si>
    <t>Queen Elizabeth Central Hospital</t>
  </si>
  <si>
    <t>POBox 95</t>
  </si>
  <si>
    <t>Blantyre</t>
  </si>
  <si>
    <t xml:space="preserve">                                                                                      </t>
  </si>
  <si>
    <t>Medicare Federal HIB</t>
  </si>
  <si>
    <t>Medicare Finance (Ag-260)</t>
  </si>
  <si>
    <t>PO Box 100312</t>
  </si>
  <si>
    <t xml:space="preserve">29202-3312                                                                                      </t>
  </si>
  <si>
    <t>Movement Group Holdings</t>
  </si>
  <si>
    <t>PO Box 50751</t>
  </si>
  <si>
    <t>Arlington</t>
  </si>
  <si>
    <t xml:space="preserve">22205-5751                                                                                                            </t>
  </si>
  <si>
    <t>Oman International Trade &amp; Exhibitions LLC</t>
  </si>
  <si>
    <t>Hatat House Comex A</t>
  </si>
  <si>
    <t>Office No 102</t>
  </si>
  <si>
    <t>Ruwi</t>
  </si>
  <si>
    <t>4540 Lindell Investments LLC</t>
  </si>
  <si>
    <t>54 Fair Oaks Dr</t>
  </si>
  <si>
    <t xml:space="preserve">63124-1520                                                                                                  </t>
  </si>
  <si>
    <t>Bell Therapeutic Services LLC</t>
  </si>
  <si>
    <t>4400 Bingham Ave</t>
  </si>
  <si>
    <t xml:space="preserve">63116-1518                                                                                                </t>
  </si>
  <si>
    <t>St Charles College</t>
  </si>
  <si>
    <t>PO Box C</t>
  </si>
  <si>
    <t>Grand Coteau</t>
  </si>
  <si>
    <t xml:space="preserve">70541-1003                                                                                                                  </t>
  </si>
  <si>
    <t>DiffStrat Companies Inc</t>
  </si>
  <si>
    <t>Advancement Resources</t>
  </si>
  <si>
    <t>3349 Southgate Ct SW</t>
  </si>
  <si>
    <t xml:space="preserve">52404-5424                                                                            </t>
  </si>
  <si>
    <t>Casa Romero Renewal Center</t>
  </si>
  <si>
    <t>2604 W Orchard St</t>
  </si>
  <si>
    <t xml:space="preserve">53204-2540                                                                                                    </t>
  </si>
  <si>
    <t>S&amp;P Global Market Intelligence Inc</t>
  </si>
  <si>
    <t>33356 Collection Center Dr</t>
  </si>
  <si>
    <t xml:space="preserve">60693-0333                                                                                     </t>
  </si>
  <si>
    <t>St Vincent DePaul Sacred Heart Church</t>
  </si>
  <si>
    <t>17 Ann Ave</t>
  </si>
  <si>
    <t>Valley Park</t>
  </si>
  <si>
    <t xml:space="preserve">63088-1696                                                                                              </t>
  </si>
  <si>
    <t>Triune Creative LLC</t>
  </si>
  <si>
    <t>10810 Kennerly Rd</t>
  </si>
  <si>
    <t xml:space="preserve">63128-2017                                                                                                         </t>
  </si>
  <si>
    <t>Addison K May MD</t>
  </si>
  <si>
    <t>306 Saint James Park</t>
  </si>
  <si>
    <t xml:space="preserve">37215-2447                                                                                                           </t>
  </si>
  <si>
    <t>New Music Circle</t>
  </si>
  <si>
    <t>760 Harvard Ave</t>
  </si>
  <si>
    <t xml:space="preserve">63130-3134                                                                                                              </t>
  </si>
  <si>
    <t>Whitestone Technologies LLC</t>
  </si>
  <si>
    <t>Eventus</t>
  </si>
  <si>
    <t>PO Box 1946</t>
  </si>
  <si>
    <t xml:space="preserve">78767-1946                                                                                                     </t>
  </si>
  <si>
    <t>JFJ Eyecare Ltd</t>
  </si>
  <si>
    <t>Quantum Vision Centers</t>
  </si>
  <si>
    <t>3990 N Illinois St</t>
  </si>
  <si>
    <t xml:space="preserve">62226-1919                                                                                          </t>
  </si>
  <si>
    <t>Sara Wilson Photography LLC</t>
  </si>
  <si>
    <t>3881 Utah Pl</t>
  </si>
  <si>
    <t xml:space="preserve">63116-4832                                                                                                      </t>
  </si>
  <si>
    <t>Catherine Baumgardner &amp; Associates Inc</t>
  </si>
  <si>
    <t>3282 Verdant Grv</t>
  </si>
  <si>
    <t>Lancaster</t>
  </si>
  <si>
    <t xml:space="preserve">17601-1277                                                                                         </t>
  </si>
  <si>
    <t>Florida State University Research Foundation Inc</t>
  </si>
  <si>
    <t>2000 Levy Ave Ste 351</t>
  </si>
  <si>
    <t>Tallahassee</t>
  </si>
  <si>
    <t xml:space="preserve">32310-5792                                                                        </t>
  </si>
  <si>
    <t>Peters Body Shop &amp; Towing Inc</t>
  </si>
  <si>
    <t>823 N 54th St</t>
  </si>
  <si>
    <t xml:space="preserve">62305-7910                                                                                                        </t>
  </si>
  <si>
    <t>Hydro Grow LLC</t>
  </si>
  <si>
    <t>800 S Saint James Blvd</t>
  </si>
  <si>
    <t xml:space="preserve">47714-2437                                                                                                          </t>
  </si>
  <si>
    <t>Simon Law Firm and Brian and Michelle Koon</t>
  </si>
  <si>
    <t xml:space="preserve">63101-2506                                                                             </t>
  </si>
  <si>
    <t>Jamila Perritt MD PLLC</t>
  </si>
  <si>
    <t>611 Pennsylvania Ave SE</t>
  </si>
  <si>
    <t>Apt 272</t>
  </si>
  <si>
    <t xml:space="preserve">20003-4303                                                                                          </t>
  </si>
  <si>
    <t>Contamination Control LLC</t>
  </si>
  <si>
    <t>1282 Ballast Point Dr</t>
  </si>
  <si>
    <t xml:space="preserve">63010-4007                                                                                                    </t>
  </si>
  <si>
    <t>Patricia Wright-Jefferson and Her Attorneys</t>
  </si>
  <si>
    <t>Wayne C Harvey &amp; Associates LLC</t>
  </si>
  <si>
    <t>Wayne C Harvey &amp; Associates</t>
  </si>
  <si>
    <t>230 S Bemiston Ave Ste 1470</t>
  </si>
  <si>
    <t xml:space="preserve">63105-1969             </t>
  </si>
  <si>
    <t>Bosnian Chamber of Commerce</t>
  </si>
  <si>
    <t>5039 Gravois Ave</t>
  </si>
  <si>
    <t xml:space="preserve">63116-2342                                                                                                  </t>
  </si>
  <si>
    <t>1000 Feathers</t>
  </si>
  <si>
    <t>117 Eldon Dr</t>
  </si>
  <si>
    <t>Cayce</t>
  </si>
  <si>
    <t xml:space="preserve">29033-2756                                                                                                                          </t>
  </si>
  <si>
    <t>Hispanic Recruitment Services Inc</t>
  </si>
  <si>
    <t>PO Box 16</t>
  </si>
  <si>
    <t>Cromwell</t>
  </si>
  <si>
    <t xml:space="preserve">06416-0016                                                                                                      </t>
  </si>
  <si>
    <t>Church of the Assumption</t>
  </si>
  <si>
    <t>403 N Main St</t>
  </si>
  <si>
    <t xml:space="preserve">63366-2205                                                                                                           </t>
  </si>
  <si>
    <t>Jazba Entertainment</t>
  </si>
  <si>
    <t>300 Washington Ave SE</t>
  </si>
  <si>
    <t xml:space="preserve">55455-0371                                                                                                     </t>
  </si>
  <si>
    <t>Casa Jst Sr Figlie Imm Conc Ba Hotel Santa Prisca</t>
  </si>
  <si>
    <t>Via Asinio Pollione 5</t>
  </si>
  <si>
    <t>Rome</t>
  </si>
  <si>
    <t>Adva-Net</t>
  </si>
  <si>
    <t>PO Box 90</t>
  </si>
  <si>
    <t>Wayne</t>
  </si>
  <si>
    <t xml:space="preserve">19087-0090                                                                                                                                  </t>
  </si>
  <si>
    <t>Imagination Pottery Studio</t>
  </si>
  <si>
    <t>1463 Wentzville Pkwy</t>
  </si>
  <si>
    <t>Wentzville</t>
  </si>
  <si>
    <t xml:space="preserve">63385-3420                                                                                                </t>
  </si>
  <si>
    <t>Arkansas Department of Higher Education</t>
  </si>
  <si>
    <t>423 Main St Ste 400</t>
  </si>
  <si>
    <t xml:space="preserve">72201-3828                                                                                   </t>
  </si>
  <si>
    <t>HF Group LLC</t>
  </si>
  <si>
    <t>Houchen Bindery</t>
  </si>
  <si>
    <t>340 1st St</t>
  </si>
  <si>
    <t>Utica</t>
  </si>
  <si>
    <t xml:space="preserve">68456-6061                                                                                                              </t>
  </si>
  <si>
    <t>Health Company International Inc</t>
  </si>
  <si>
    <t>Passport Health</t>
  </si>
  <si>
    <t>1034 S Brentwood Blvd Ste 710</t>
  </si>
  <si>
    <t xml:space="preserve">63117-1207                                                                 </t>
  </si>
  <si>
    <t>Attorney Registration &amp; Disciplinary Commission</t>
  </si>
  <si>
    <t>PO Box 19436</t>
  </si>
  <si>
    <t xml:space="preserve">62794-9436                                                                                  </t>
  </si>
  <si>
    <t>Bradley University</t>
  </si>
  <si>
    <t>Dept of Athletics</t>
  </si>
  <si>
    <t>Renaissance Coliseum</t>
  </si>
  <si>
    <t>1501 W Bradley Ave</t>
  </si>
  <si>
    <t>Peoria</t>
  </si>
  <si>
    <t xml:space="preserve">61625-0001                                                                         </t>
  </si>
  <si>
    <t>St Louis Vascular Society</t>
  </si>
  <si>
    <t>c/o Rick Pennell</t>
  </si>
  <si>
    <t>625 S New Ballas Rd Ste 7063</t>
  </si>
  <si>
    <t xml:space="preserve">63141-8218                                                                        </t>
  </si>
  <si>
    <t>New York State</t>
  </si>
  <si>
    <t>Commissioner of Taxation And Finance</t>
  </si>
  <si>
    <t>Commissioner of Taxation And</t>
  </si>
  <si>
    <t>PO Box 4127</t>
  </si>
  <si>
    <t xml:space="preserve">13902-4127                                                     </t>
  </si>
  <si>
    <t>University of Central Arkansas</t>
  </si>
  <si>
    <t>PO Box 5004</t>
  </si>
  <si>
    <t>201 Donaghey</t>
  </si>
  <si>
    <t>Conway</t>
  </si>
  <si>
    <t xml:space="preserve">72035-0001                                                                                             </t>
  </si>
  <si>
    <t>American Board of Otolaryngology</t>
  </si>
  <si>
    <t>5615 Kirby Dr Ste 600</t>
  </si>
  <si>
    <t xml:space="preserve">77005-2444                                                                                            </t>
  </si>
  <si>
    <t>Nature America Inc</t>
  </si>
  <si>
    <t>Springer Nature</t>
  </si>
  <si>
    <t>PO Box 512257</t>
  </si>
  <si>
    <t xml:space="preserve">19175-0001                                                                                              </t>
  </si>
  <si>
    <t>Society for Vascular Surgery</t>
  </si>
  <si>
    <t>2651 Warrenville Rd Ste 400</t>
  </si>
  <si>
    <t>Downers Grove</t>
  </si>
  <si>
    <t xml:space="preserve">60515-5753                                                                                    </t>
  </si>
  <si>
    <t>ViraCor-IBT Laboratories Inc</t>
  </si>
  <si>
    <t>2695 Momentum Pl</t>
  </si>
  <si>
    <t xml:space="preserve">60689-0001                                                                                                     </t>
  </si>
  <si>
    <t>Johnson Controls Fire Protection LP</t>
  </si>
  <si>
    <t>11360 Lackland Rd</t>
  </si>
  <si>
    <t xml:space="preserve">63146-3522                                                                                         </t>
  </si>
  <si>
    <t>Pediatric Endocrine Society</t>
  </si>
  <si>
    <t>McLean</t>
  </si>
  <si>
    <t xml:space="preserve">22101-3906                                                                                             </t>
  </si>
  <si>
    <t>City of Des Peres</t>
  </si>
  <si>
    <t>The Lodge Des Peres</t>
  </si>
  <si>
    <t>1050 Des Peres Rd</t>
  </si>
  <si>
    <t>Des Peres</t>
  </si>
  <si>
    <t xml:space="preserve">63131-2042                                                                                          </t>
  </si>
  <si>
    <t>College Entrance Examination Board</t>
  </si>
  <si>
    <t>The College Board</t>
  </si>
  <si>
    <t>411 Lafayette St Ste 201</t>
  </si>
  <si>
    <t xml:space="preserve">10003-7032                                                                     </t>
  </si>
  <si>
    <t>Missouri State University</t>
  </si>
  <si>
    <t>128 Garfield Ave</t>
  </si>
  <si>
    <t>West Plains</t>
  </si>
  <si>
    <t xml:space="preserve">65775-2715                                                                                                    </t>
  </si>
  <si>
    <t>Gateway Career Services Association</t>
  </si>
  <si>
    <t>McKendree University</t>
  </si>
  <si>
    <t>701 College Rd</t>
  </si>
  <si>
    <t>Lebanon</t>
  </si>
  <si>
    <t xml:space="preserve">62254-1291                                                                            </t>
  </si>
  <si>
    <t>Phelps County Regional Medical Center</t>
  </si>
  <si>
    <t>1000 W 10th St</t>
  </si>
  <si>
    <t xml:space="preserve">65401-2905                                                                                                </t>
  </si>
  <si>
    <t>Kent Adhesive Products</t>
  </si>
  <si>
    <t>1000 Cherry St</t>
  </si>
  <si>
    <t>Kent</t>
  </si>
  <si>
    <t xml:space="preserve">44240-7501                                                                                                                </t>
  </si>
  <si>
    <t>Precision Dynamics Corporation</t>
  </si>
  <si>
    <t>PO Box 71549</t>
  </si>
  <si>
    <t xml:space="preserve">60694-1549                                                                                                       </t>
  </si>
  <si>
    <t>CoreSource Inc</t>
  </si>
  <si>
    <t>Patient Access Network Foundation</t>
  </si>
  <si>
    <t>Patient Access Network</t>
  </si>
  <si>
    <t>PO Box 2310</t>
  </si>
  <si>
    <t>Mount Clemens</t>
  </si>
  <si>
    <t xml:space="preserve">48046-2310                                                           </t>
  </si>
  <si>
    <t>Little Rock School District</t>
  </si>
  <si>
    <t>501 Sherman St</t>
  </si>
  <si>
    <t xml:space="preserve">72202-2451                                                                                                    </t>
  </si>
  <si>
    <t>National Association of College Auxiliary Services</t>
  </si>
  <si>
    <t>3 Boars Head Ln Ste B</t>
  </si>
  <si>
    <t xml:space="preserve">22903-4604                                                                  </t>
  </si>
  <si>
    <t>Medico Life Insurance</t>
  </si>
  <si>
    <t>PO Box 10386</t>
  </si>
  <si>
    <t xml:space="preserve">50306-0386                                                                                                             </t>
  </si>
  <si>
    <t>Sedgwick Claims Management Services Inc</t>
  </si>
  <si>
    <t>1100 Ridgeway Loop Rd Ste 200</t>
  </si>
  <si>
    <t xml:space="preserve">38120-4057                                                                             </t>
  </si>
  <si>
    <t>Medical West Pharmacy Inc</t>
  </si>
  <si>
    <t>Medical West Healthcare Center</t>
  </si>
  <si>
    <t>9301 Dielman Industrial Dr</t>
  </si>
  <si>
    <t xml:space="preserve">63132-2204                                                            </t>
  </si>
  <si>
    <t>Nerinx Hall High School</t>
  </si>
  <si>
    <t>530 E Lockwood Ave</t>
  </si>
  <si>
    <t xml:space="preserve">63119-3278                                                                                                    </t>
  </si>
  <si>
    <t>St Louis Area Business Health Coalition</t>
  </si>
  <si>
    <t>8888 Ladue Rd Ste 250</t>
  </si>
  <si>
    <t xml:space="preserve">63124-2078                                                                                 </t>
  </si>
  <si>
    <t>Drake University</t>
  </si>
  <si>
    <t>Student Life Center Olmsted</t>
  </si>
  <si>
    <t>2875 University Ave</t>
  </si>
  <si>
    <t xml:space="preserve">50311-4034                                                                                </t>
  </si>
  <si>
    <t>Loyola University Chicago</t>
  </si>
  <si>
    <t>Conference Services</t>
  </si>
  <si>
    <t>820 N Michigan Ave</t>
  </si>
  <si>
    <t>Fl 1 Apt 140</t>
  </si>
  <si>
    <t xml:space="preserve">60611-2196                                                                       </t>
  </si>
  <si>
    <t>American Dental Association</t>
  </si>
  <si>
    <t>28094 Network Pl</t>
  </si>
  <si>
    <t xml:space="preserve">60673-1280                                                                                                      </t>
  </si>
  <si>
    <t>RubinBrown LLP</t>
  </si>
  <si>
    <t>PO Box 790379</t>
  </si>
  <si>
    <t xml:space="preserve">63179-0379                                                                                                                  </t>
  </si>
  <si>
    <t>Northwestern University</t>
  </si>
  <si>
    <t>Proteomics Center Of</t>
  </si>
  <si>
    <t>Silverman Hall Office 3637</t>
  </si>
  <si>
    <t>Evanston</t>
  </si>
  <si>
    <t xml:space="preserve">60208-0001                                                       </t>
  </si>
  <si>
    <t>Family Support Payment Ctr</t>
  </si>
  <si>
    <t>PO Box 109001</t>
  </si>
  <si>
    <t xml:space="preserve">65110-9001                                                                                                   </t>
  </si>
  <si>
    <t>PACER Service Center</t>
  </si>
  <si>
    <t>PO Box 71364</t>
  </si>
  <si>
    <t xml:space="preserve">19176-1364                                                                                                            </t>
  </si>
  <si>
    <t>Cystic Fibrosis Foundation</t>
  </si>
  <si>
    <t>4550 Montgomery Ave Ste 1100N</t>
  </si>
  <si>
    <t xml:space="preserve">20814-3732                                                                                         </t>
  </si>
  <si>
    <t>Society for Pediatric Research</t>
  </si>
  <si>
    <t>9303 New Trails Dr Ste 350</t>
  </si>
  <si>
    <t>The Woodlands</t>
  </si>
  <si>
    <t xml:space="preserve">77381-5018                                                                                   </t>
  </si>
  <si>
    <t>ProQuest LP</t>
  </si>
  <si>
    <t>Proquest LLC</t>
  </si>
  <si>
    <t>789 E Eisenhower Pkwy</t>
  </si>
  <si>
    <t xml:space="preserve">48108-3218                                                                                                   </t>
  </si>
  <si>
    <t>Perry County Health System</t>
  </si>
  <si>
    <t>Attn:Accounting</t>
  </si>
  <si>
    <t>434 N West St</t>
  </si>
  <si>
    <t xml:space="preserve">63775-1359                                                                                        </t>
  </si>
  <si>
    <t>Cashier's Office</t>
  </si>
  <si>
    <t>Bursar's Office</t>
  </si>
  <si>
    <t>Santa Clara University</t>
  </si>
  <si>
    <t>500 El Camino</t>
  </si>
  <si>
    <t>Santa Clara</t>
  </si>
  <si>
    <t xml:space="preserve">95053-0001                                                                           </t>
  </si>
  <si>
    <t>Council of International Schools</t>
  </si>
  <si>
    <t>Schipholweg 113</t>
  </si>
  <si>
    <t>Leiden</t>
  </si>
  <si>
    <t xml:space="preserve">2316 XC                                                                                                        </t>
  </si>
  <si>
    <t>Dell Marketing LP</t>
  </si>
  <si>
    <t>Dell Preferred Account</t>
  </si>
  <si>
    <t>PO Box 6403</t>
  </si>
  <si>
    <t xml:space="preserve">60197-6403                                                                                          </t>
  </si>
  <si>
    <t>Division of Employment Security</t>
  </si>
  <si>
    <t>PO Box 888</t>
  </si>
  <si>
    <t xml:space="preserve">65102-0888                                                                                                 </t>
  </si>
  <si>
    <t>United Healthcare</t>
  </si>
  <si>
    <t>Buffalo Service Center</t>
  </si>
  <si>
    <t>PO Box 740809</t>
  </si>
  <si>
    <t xml:space="preserve">30374-0809                                                                                             </t>
  </si>
  <si>
    <t>Missouri Library Association</t>
  </si>
  <si>
    <t>1190 Meramec Station Rd</t>
  </si>
  <si>
    <t>Ste 207</t>
  </si>
  <si>
    <t xml:space="preserve">63021-6902                                                                                       </t>
  </si>
  <si>
    <t>Accent</t>
  </si>
  <si>
    <t xml:space="preserve">63195-2366                                                                                                                          </t>
  </si>
  <si>
    <t>Webster Groves School District</t>
  </si>
  <si>
    <t>400 E Lockwood Ave</t>
  </si>
  <si>
    <t xml:space="preserve">63119-3125                                                                                             </t>
  </si>
  <si>
    <t>Illinois Department of Revenue</t>
  </si>
  <si>
    <t>PO Box 19035</t>
  </si>
  <si>
    <t xml:space="preserve">62794-9035                                                                                                   </t>
  </si>
  <si>
    <t>American Academy of Neurology Professional Assn</t>
  </si>
  <si>
    <t>201 Chicago Ave</t>
  </si>
  <si>
    <t xml:space="preserve">55415-1126                                                                               </t>
  </si>
  <si>
    <t>APWU Health Plan</t>
  </si>
  <si>
    <t>PO Box 1358</t>
  </si>
  <si>
    <t>Glen Burnie</t>
  </si>
  <si>
    <t xml:space="preserve">21060-1358                                                                                                                  </t>
  </si>
  <si>
    <t>American Academy of Forensic Sciences</t>
  </si>
  <si>
    <t>Aafs Lockbox</t>
  </si>
  <si>
    <t>PO Box 173704</t>
  </si>
  <si>
    <t xml:space="preserve">80217-3704                                                                                    </t>
  </si>
  <si>
    <t>McGraw-Hill Companies</t>
  </si>
  <si>
    <t>Aviation Week</t>
  </si>
  <si>
    <t>PO Box 1176</t>
  </si>
  <si>
    <t>Skokie</t>
  </si>
  <si>
    <t xml:space="preserve">60076-8176                                                                                                     </t>
  </si>
  <si>
    <t>TSI Inc</t>
  </si>
  <si>
    <t>PO Box 5171</t>
  </si>
  <si>
    <t>Westport</t>
  </si>
  <si>
    <t xml:space="preserve">06881-5171                                                                                                                              </t>
  </si>
  <si>
    <t>Tenet HealthSystem DI</t>
  </si>
  <si>
    <t>Medical Staff Office</t>
  </si>
  <si>
    <t>2345 Dougherty Ferry Rd</t>
  </si>
  <si>
    <t xml:space="preserve">63122-3313                                                                             </t>
  </si>
  <si>
    <t>Ted Drewes Inc</t>
  </si>
  <si>
    <t>6828 Casselberry Ct</t>
  </si>
  <si>
    <t xml:space="preserve">63123-3241                                                                                                            </t>
  </si>
  <si>
    <t>VLF Designs</t>
  </si>
  <si>
    <t>1621 Bella Vista Dr</t>
  </si>
  <si>
    <t xml:space="preserve">63755-7848                                                                                                                   </t>
  </si>
  <si>
    <t>Missouri Medicaid</t>
  </si>
  <si>
    <t>Attn: Sandy Barnes Rn</t>
  </si>
  <si>
    <t xml:space="preserve">65102-6500                                                                                         </t>
  </si>
  <si>
    <t>Order of Omega</t>
  </si>
  <si>
    <t>300 E Border St</t>
  </si>
  <si>
    <t xml:space="preserve">76010-1656                                                                                                                  </t>
  </si>
  <si>
    <t>Advocate Health &amp; Hospitals Corporation</t>
  </si>
  <si>
    <t>Advocate Lutheran General Hospital</t>
  </si>
  <si>
    <t>1775 Dempster St MB 60</t>
  </si>
  <si>
    <t xml:space="preserve">60068-3129                                               </t>
  </si>
  <si>
    <t>Marquis Who's Who LLC</t>
  </si>
  <si>
    <t>National Register Publishing</t>
  </si>
  <si>
    <t>PO Box 743140</t>
  </si>
  <si>
    <t xml:space="preserve">30374-3140                                                                                   </t>
  </si>
  <si>
    <t>Roche Diagnostics</t>
  </si>
  <si>
    <t>Mail Code 5021</t>
  </si>
  <si>
    <t>PO Box 660367</t>
  </si>
  <si>
    <t xml:space="preserve">75266-0367                                                                                                      </t>
  </si>
  <si>
    <t>BioMerieux Inc</t>
  </si>
  <si>
    <t>PO Box 500308</t>
  </si>
  <si>
    <t xml:space="preserve">63150-0308                                                                                                                  </t>
  </si>
  <si>
    <t>EJ Welch Co Inc</t>
  </si>
  <si>
    <t>PO Box 790126</t>
  </si>
  <si>
    <t xml:space="preserve">63179-0126                                                                                                                 </t>
  </si>
  <si>
    <t>Regents of the UC Berkeley</t>
  </si>
  <si>
    <t>University Library ( Bancroft</t>
  </si>
  <si>
    <t>110 Doe Library</t>
  </si>
  <si>
    <t>Berkeley</t>
  </si>
  <si>
    <t xml:space="preserve">94720-0001                                                                          </t>
  </si>
  <si>
    <t>American Board of Orthodontics</t>
  </si>
  <si>
    <t>401 N Lindbergh Blvd Ste 300</t>
  </si>
  <si>
    <t xml:space="preserve">63141-7839                                                                                   </t>
  </si>
  <si>
    <t>J J Keller and Associates Inc</t>
  </si>
  <si>
    <t>PO Box 6609</t>
  </si>
  <si>
    <t xml:space="preserve">60197-6609                                                                                                    </t>
  </si>
  <si>
    <t>Thompson Coburn LLP</t>
  </si>
  <si>
    <t>One US Bank Plaza</t>
  </si>
  <si>
    <t xml:space="preserve">63101-1693                                                                                                         </t>
  </si>
  <si>
    <t>St Josephs Academy</t>
  </si>
  <si>
    <t>c/o Pat Dunphy</t>
  </si>
  <si>
    <t>2307 S Lindbergh Blvd</t>
  </si>
  <si>
    <t xml:space="preserve">63131-3596                                                                                        </t>
  </si>
  <si>
    <t>Sentry Insurance</t>
  </si>
  <si>
    <t>PO Box 8045</t>
  </si>
  <si>
    <t>Stevens Point</t>
  </si>
  <si>
    <t xml:space="preserve">54481-8045                                                                                                                </t>
  </si>
  <si>
    <t>Music Pro Entertainment LLC</t>
  </si>
  <si>
    <t>2103 59th St</t>
  </si>
  <si>
    <t xml:space="preserve">63110-2807                                                                                                      </t>
  </si>
  <si>
    <t>American Board of Obstetrics &amp; Gynecology Inc</t>
  </si>
  <si>
    <t>Attn: Fellowship Programs Dept</t>
  </si>
  <si>
    <t>2915 Vine St</t>
  </si>
  <si>
    <t xml:space="preserve">75204-1045                                                           </t>
  </si>
  <si>
    <t>American Assn for Pediatric Ophthalmology &amp; Strabismus</t>
  </si>
  <si>
    <t>Dept 34659</t>
  </si>
  <si>
    <t xml:space="preserve">94139-0001                                                               </t>
  </si>
  <si>
    <t>Saint Louis Science Foundation</t>
  </si>
  <si>
    <t>Dba St Louis Science Center</t>
  </si>
  <si>
    <t>Accounts Receivable Dept 725</t>
  </si>
  <si>
    <t>5050 Oakland Ave</t>
  </si>
  <si>
    <t xml:space="preserve">63110-1460                                        </t>
  </si>
  <si>
    <t>Shoot-A-Way Inc</t>
  </si>
  <si>
    <t>3305 Ch 47</t>
  </si>
  <si>
    <t>Upper Sandusky</t>
  </si>
  <si>
    <t>Medical Training Solutions</t>
  </si>
  <si>
    <t>PO Box 17349</t>
  </si>
  <si>
    <t xml:space="preserve">98127-1049                                                                                                           </t>
  </si>
  <si>
    <t>Royel Catering Inc</t>
  </si>
  <si>
    <t>8000 Concordia Rd</t>
  </si>
  <si>
    <t xml:space="preserve">62223-6944                                                                                                           </t>
  </si>
  <si>
    <t>Grace Hill Settlement House</t>
  </si>
  <si>
    <t>2600 Hadley St</t>
  </si>
  <si>
    <t xml:space="preserve">63106-4098                                                                                                    </t>
  </si>
  <si>
    <t>Sandberg Phoenix and Von Gontard PC</t>
  </si>
  <si>
    <t>600 Washington Ave Ste 1500</t>
  </si>
  <si>
    <t xml:space="preserve">63101-1313                                                                               </t>
  </si>
  <si>
    <t>Collegiate Water Polo Association</t>
  </si>
  <si>
    <t>129 W 4th St</t>
  </si>
  <si>
    <t>Bridgeport</t>
  </si>
  <si>
    <t xml:space="preserve">19405-1010                                                                                                 </t>
  </si>
  <si>
    <t>Sheldon Arts Foundation</t>
  </si>
  <si>
    <t>3648 Washington Blvd</t>
  </si>
  <si>
    <t xml:space="preserve">63108-3610                                                                                                  </t>
  </si>
  <si>
    <t>Erise Williams and Associates Inc</t>
  </si>
  <si>
    <t>3737 N Kingshighway Blvd</t>
  </si>
  <si>
    <t>Ste 204-206</t>
  </si>
  <si>
    <t xml:space="preserve">63115-1736                                                                         </t>
  </si>
  <si>
    <t>International Association of Counseling Services</t>
  </si>
  <si>
    <t>101 S Whiting St Ste 211</t>
  </si>
  <si>
    <t xml:space="preserve">22304-3416                                                                      </t>
  </si>
  <si>
    <t>Brydon Swearengen &amp; England PC</t>
  </si>
  <si>
    <t>PO Box 456</t>
  </si>
  <si>
    <t>312 E Capitol Ave</t>
  </si>
  <si>
    <t xml:space="preserve">65101-3004                                                                                 </t>
  </si>
  <si>
    <t>Catholic Relief Services</t>
  </si>
  <si>
    <t>PO Box 17090</t>
  </si>
  <si>
    <t xml:space="preserve">21297-0303                                                                                                           </t>
  </si>
  <si>
    <t>InvestMidwest</t>
  </si>
  <si>
    <t>211 N Broadway Ste 1300</t>
  </si>
  <si>
    <t xml:space="preserve">63102-2748                                                                                                         </t>
  </si>
  <si>
    <t>Harris-Stowe State University</t>
  </si>
  <si>
    <t>Concert Chorale</t>
  </si>
  <si>
    <t>3026 Laclede Ave</t>
  </si>
  <si>
    <t xml:space="preserve">63103-2199                                                                                 </t>
  </si>
  <si>
    <t>Leslie's Poolmart Inc</t>
  </si>
  <si>
    <t>Leslie's Swimming Pool</t>
  </si>
  <si>
    <t>PO Box 501162</t>
  </si>
  <si>
    <t xml:space="preserve">63150-0001                                                                                     </t>
  </si>
  <si>
    <t>Council of Independent Colleges</t>
  </si>
  <si>
    <t>1 Dupont Cir NW Ste 320</t>
  </si>
  <si>
    <t xml:space="preserve">20036-1142                                                                                        </t>
  </si>
  <si>
    <t>WCP Laboratories Inc</t>
  </si>
  <si>
    <t>PO Box 60013</t>
  </si>
  <si>
    <t xml:space="preserve">63160-0013                                                                                                             </t>
  </si>
  <si>
    <t>Southeastern MO Area Health Education Center</t>
  </si>
  <si>
    <t>506 Hazel St Apt D</t>
  </si>
  <si>
    <t xml:space="preserve">63901-6063                                                                              </t>
  </si>
  <si>
    <t>Dwayne Ketzler</t>
  </si>
  <si>
    <t>6625 Parkwood Pl</t>
  </si>
  <si>
    <t xml:space="preserve">63116-2151                                                                                                               </t>
  </si>
  <si>
    <t>Wolters Kluwer Health</t>
  </si>
  <si>
    <t>Clinical Drug Information</t>
  </si>
  <si>
    <t>62526 Collections Center Drive</t>
  </si>
  <si>
    <t xml:space="preserve">60693-0001                                                                     </t>
  </si>
  <si>
    <t>Higher Learning Commission</t>
  </si>
  <si>
    <t>230 S La Salle St Ste 7-500</t>
  </si>
  <si>
    <t xml:space="preserve">60604-1411                                                                                            </t>
  </si>
  <si>
    <t>American Academy of Audiology</t>
  </si>
  <si>
    <t>Bank Lockbox</t>
  </si>
  <si>
    <t>PMB 507</t>
  </si>
  <si>
    <t>11654 Plaza America Dr</t>
  </si>
  <si>
    <t xml:space="preserve">20190-4700                                                                            </t>
  </si>
  <si>
    <t>American Academy of Family Physicians CT Chapter</t>
  </si>
  <si>
    <t>Core Content Review of Family Medicine</t>
  </si>
  <si>
    <t>Core Content Review of Family</t>
  </si>
  <si>
    <t>PO Box 30</t>
  </si>
  <si>
    <t>Bloomfield</t>
  </si>
  <si>
    <t xml:space="preserve">06002-0030                  </t>
  </si>
  <si>
    <t>Health Scope Benefits</t>
  </si>
  <si>
    <t>PO Box 350</t>
  </si>
  <si>
    <t xml:space="preserve">72203-0350                                                                                                              </t>
  </si>
  <si>
    <t>American Academy of Family Physicians</t>
  </si>
  <si>
    <t>Annals of Family Medicine</t>
  </si>
  <si>
    <t>11400 Tomahawk Creek Pkwy</t>
  </si>
  <si>
    <t>Leawood</t>
  </si>
  <si>
    <t xml:space="preserve">66211-2680                                                          </t>
  </si>
  <si>
    <t>American College of Psychiatrists</t>
  </si>
  <si>
    <t>111 E Wacker Dr Ste 1440</t>
  </si>
  <si>
    <t xml:space="preserve">60601-4501                                                                                        </t>
  </si>
  <si>
    <t>American Automotive Services</t>
  </si>
  <si>
    <t>3422 Delmar Blvd</t>
  </si>
  <si>
    <t>Conner Business Systems Inc</t>
  </si>
  <si>
    <t>Dba Tab St Louis</t>
  </si>
  <si>
    <t>1324 Clarkson Clayton Ctr</t>
  </si>
  <si>
    <t>Apt 343</t>
  </si>
  <si>
    <t>Ellisville</t>
  </si>
  <si>
    <t xml:space="preserve">63011-2145                                                                   </t>
  </si>
  <si>
    <t>Archbishop Spalding High School</t>
  </si>
  <si>
    <t>8080 New Cut Rd</t>
  </si>
  <si>
    <t>Severn</t>
  </si>
  <si>
    <t xml:space="preserve">21144-2399                                                                                                    </t>
  </si>
  <si>
    <t>Kiwanis Club of Columbus</t>
  </si>
  <si>
    <t>Attn: College Fair</t>
  </si>
  <si>
    <t>PO Box 20334</t>
  </si>
  <si>
    <t xml:space="preserve">43220-0334                                                                                          </t>
  </si>
  <si>
    <t>Webster University</t>
  </si>
  <si>
    <t>The Journal</t>
  </si>
  <si>
    <t>470 E Lockwood Ave</t>
  </si>
  <si>
    <t xml:space="preserve">63119-3194                                                                                              </t>
  </si>
  <si>
    <t>Assn of College Unions International</t>
  </si>
  <si>
    <t>120 W 7th St Ste 200</t>
  </si>
  <si>
    <t>Bloomington</t>
  </si>
  <si>
    <t xml:space="preserve">47404-3839                                                                                     </t>
  </si>
  <si>
    <t>Clinical and Laboratory Standards Institute</t>
  </si>
  <si>
    <t>PO Box 645766</t>
  </si>
  <si>
    <t xml:space="preserve">15264-5255                                                                                      </t>
  </si>
  <si>
    <t>Columbia High School</t>
  </si>
  <si>
    <t>Attn: Principals Office</t>
  </si>
  <si>
    <t>77 Veterans Pkwy</t>
  </si>
  <si>
    <t xml:space="preserve">62236-1199                                                                                     </t>
  </si>
  <si>
    <t>Bi-Lingual International Assistant Services</t>
  </si>
  <si>
    <t>1329 Macklind Ave Ste 200</t>
  </si>
  <si>
    <t xml:space="preserve">63110-1400                                                                         </t>
  </si>
  <si>
    <t>Summit America Insurance Services</t>
  </si>
  <si>
    <t>PO Box 25936</t>
  </si>
  <si>
    <t xml:space="preserve">66225-5936                                                                                              </t>
  </si>
  <si>
    <t>California State Disbursement Unit</t>
  </si>
  <si>
    <t>PO Box 989067</t>
  </si>
  <si>
    <t>West Sacramento</t>
  </si>
  <si>
    <t xml:space="preserve">95798-9067                                                                                          </t>
  </si>
  <si>
    <t>Cathedral Basilica of St. Louis</t>
  </si>
  <si>
    <t>4431 Lindell Blvd</t>
  </si>
  <si>
    <t xml:space="preserve">63108-2496                                                                                             </t>
  </si>
  <si>
    <t>SSM Health Care St Louis</t>
  </si>
  <si>
    <t>6420 Clayton Rd</t>
  </si>
  <si>
    <t xml:space="preserve">63117-1811                                                                                  </t>
  </si>
  <si>
    <t>Saint Peters University</t>
  </si>
  <si>
    <t>2627 John F Kennedy Blvd</t>
  </si>
  <si>
    <t>Jersey City</t>
  </si>
  <si>
    <t xml:space="preserve">07306-4810                                                                             </t>
  </si>
  <si>
    <t>Community Unit School District No 9</t>
  </si>
  <si>
    <t>1947 Adams St</t>
  </si>
  <si>
    <t xml:space="preserve">62040-3311                                                                                            </t>
  </si>
  <si>
    <t>ComPsych Corporation</t>
  </si>
  <si>
    <t>NBC Tower 13th Floor</t>
  </si>
  <si>
    <t>455 N Cityfront Plaza Dr</t>
  </si>
  <si>
    <t xml:space="preserve">60611-5322                                                                                 </t>
  </si>
  <si>
    <t>Continental Service Group Inc</t>
  </si>
  <si>
    <t>Dba Conserve</t>
  </si>
  <si>
    <t>200 Cross Keys Office Park</t>
  </si>
  <si>
    <t>PO Box 7</t>
  </si>
  <si>
    <t>Fairport</t>
  </si>
  <si>
    <t xml:space="preserve">14450-0007                                                                     </t>
  </si>
  <si>
    <t>Gazelle Group Inc</t>
  </si>
  <si>
    <t>475 Wall St</t>
  </si>
  <si>
    <t xml:space="preserve">08540-1509                                                                                                                   </t>
  </si>
  <si>
    <t>Missouri Lawyers Media</t>
  </si>
  <si>
    <t>PO Box 955400</t>
  </si>
  <si>
    <t xml:space="preserve">63195-5400                                                                                                          </t>
  </si>
  <si>
    <t>Cape Girardeau School District No 63</t>
  </si>
  <si>
    <t>1080 S Silver Springs Rd</t>
  </si>
  <si>
    <t>Cape Girardeau</t>
  </si>
  <si>
    <t xml:space="preserve">63703-7511                                                                              </t>
  </si>
  <si>
    <t>Joint Review Committee on Educational Programs</t>
  </si>
  <si>
    <t>In Nuclear Medicine Technology</t>
  </si>
  <si>
    <t>820 W Danforth Rd Ste B1</t>
  </si>
  <si>
    <t>Edmond</t>
  </si>
  <si>
    <t xml:space="preserve">73003-5006                                              </t>
  </si>
  <si>
    <t>Family Health Network</t>
  </si>
  <si>
    <t>322 S Green St Ste 400</t>
  </si>
  <si>
    <t xml:space="preserve">60607-3544                                                                                                      </t>
  </si>
  <si>
    <t>Empowerment Network Inc</t>
  </si>
  <si>
    <t>PO Box 470142</t>
  </si>
  <si>
    <t xml:space="preserve">63147-7142                                                                                                         </t>
  </si>
  <si>
    <t>Midwest Elevator Company Inc</t>
  </si>
  <si>
    <t>1824 Knox Ave</t>
  </si>
  <si>
    <t xml:space="preserve">63139-3018                                                                                                    </t>
  </si>
  <si>
    <t>EB Jacobs LLC</t>
  </si>
  <si>
    <t>300 S Burrowes St</t>
  </si>
  <si>
    <t>State College</t>
  </si>
  <si>
    <t xml:space="preserve">16801-4012                                                                                                             </t>
  </si>
  <si>
    <t>Broadneck High School</t>
  </si>
  <si>
    <t>1265 Green Holly Dr</t>
  </si>
  <si>
    <t>Annapolis</t>
  </si>
  <si>
    <t xml:space="preserve">21409-4696                                                                                                       </t>
  </si>
  <si>
    <t>Breakfast Club Inc</t>
  </si>
  <si>
    <t>3935 Galaxie Dr</t>
  </si>
  <si>
    <t xml:space="preserve">63034-2527                                                                                                             </t>
  </si>
  <si>
    <t>Brown and James PC</t>
  </si>
  <si>
    <t xml:space="preserve">63101-2508                                                                                                     </t>
  </si>
  <si>
    <t>Operation Food Search</t>
  </si>
  <si>
    <t>1644 Lotsie Blvd</t>
  </si>
  <si>
    <t xml:space="preserve">63132-1444                                                                                                        </t>
  </si>
  <si>
    <t>Prison Performing Arts</t>
  </si>
  <si>
    <t>3547 Olive St Ste 250</t>
  </si>
  <si>
    <t xml:space="preserve">63103-1024                                                                                                  </t>
  </si>
  <si>
    <t>Enrollment Rx LLC</t>
  </si>
  <si>
    <t>9511 River St</t>
  </si>
  <si>
    <t>Schiller Park</t>
  </si>
  <si>
    <t xml:space="preserve">60176-1019                                                                                                             </t>
  </si>
  <si>
    <t>Rynearson Suess Schnurbusch and Champion LLC</t>
  </si>
  <si>
    <t>500 N Broadway Ste 1550</t>
  </si>
  <si>
    <t xml:space="preserve">63102-2141                                                                          </t>
  </si>
  <si>
    <t>Intuitive Surgical Inc</t>
  </si>
  <si>
    <t>Department 33629</t>
  </si>
  <si>
    <t xml:space="preserve">94139-0001                                                                                         </t>
  </si>
  <si>
    <t>Tacoma School District No 10</t>
  </si>
  <si>
    <t>Wilson High School</t>
  </si>
  <si>
    <t>1202 N Orchard St</t>
  </si>
  <si>
    <t>Tacoma</t>
  </si>
  <si>
    <t xml:space="preserve">98406-3228                                                                                   </t>
  </si>
  <si>
    <t>Regence</t>
  </si>
  <si>
    <t>Cash Management</t>
  </si>
  <si>
    <t>PO Box 3016</t>
  </si>
  <si>
    <t xml:space="preserve">98401-3016                                                                                                                 </t>
  </si>
  <si>
    <t>Downtown STL Inc</t>
  </si>
  <si>
    <t>720 Olive St Ste 450</t>
  </si>
  <si>
    <t xml:space="preserve">63101-2324                                                                                                         </t>
  </si>
  <si>
    <t>Springshare LLC</t>
  </si>
  <si>
    <t>801 Brickell Ave Ste 900</t>
  </si>
  <si>
    <t>Miami</t>
  </si>
  <si>
    <t xml:space="preserve">33131-2979                                                                                                            </t>
  </si>
  <si>
    <t>Association for the Study of Higher Education</t>
  </si>
  <si>
    <t>University of Nevada Las Vegas</t>
  </si>
  <si>
    <t>4505 S Maryland Pkwy</t>
  </si>
  <si>
    <t>Apt 453068</t>
  </si>
  <si>
    <t>Las Vegas</t>
  </si>
  <si>
    <t>NV</t>
  </si>
  <si>
    <t xml:space="preserve">89154-9900                                      </t>
  </si>
  <si>
    <t>Sorrell and Traube Attorneys at Law</t>
  </si>
  <si>
    <t>4378 Lindell Blvd</t>
  </si>
  <si>
    <t xml:space="preserve">63108-2702                                                                                         </t>
  </si>
  <si>
    <t>Western Institutional Review Board Inc</t>
  </si>
  <si>
    <t>PO Box 150434</t>
  </si>
  <si>
    <t xml:space="preserve">06115-0434                                                                                             </t>
  </si>
  <si>
    <t>Ohio State University</t>
  </si>
  <si>
    <t>3114 Smith Lab</t>
  </si>
  <si>
    <t>174 W 18th Ave</t>
  </si>
  <si>
    <t xml:space="preserve">43210-1369                                                                                               </t>
  </si>
  <si>
    <t>Dobson Goldberg Berns and Rich LLP</t>
  </si>
  <si>
    <t>5017 Washington Pl Fl 3</t>
  </si>
  <si>
    <t xml:space="preserve">63108-1142                                                                                    </t>
  </si>
  <si>
    <t>Association of Governing Boards of Universities and Colleges</t>
  </si>
  <si>
    <t>PO Box 418687</t>
  </si>
  <si>
    <t xml:space="preserve">02241-8687                                                                         </t>
  </si>
  <si>
    <t>Molina Healthcare of Illinois</t>
  </si>
  <si>
    <t>1520 Kensington Rd Ste 212</t>
  </si>
  <si>
    <t>Oak Brook</t>
  </si>
  <si>
    <t xml:space="preserve">60523-2197                                                                                        </t>
  </si>
  <si>
    <t>Western ALS Research Group Inc</t>
  </si>
  <si>
    <t>3901 Rainbow Blvd</t>
  </si>
  <si>
    <t xml:space="preserve">66160-8500                                                                                              </t>
  </si>
  <si>
    <t>FDP Foundation</t>
  </si>
  <si>
    <t>500 5th St NW</t>
  </si>
  <si>
    <t xml:space="preserve">20001-2736                                                                                                                   </t>
  </si>
  <si>
    <t>Westminster Place Trustees</t>
  </si>
  <si>
    <t>5053 Westminster Pl</t>
  </si>
  <si>
    <t xml:space="preserve">63108-1118                                                                                                </t>
  </si>
  <si>
    <t>Radia Consulting LLC</t>
  </si>
  <si>
    <t>5044 Westminster Pl</t>
  </si>
  <si>
    <t xml:space="preserve">63108-1119                                                                                                      </t>
  </si>
  <si>
    <t>Catholic Research Resources Alliance Inc</t>
  </si>
  <si>
    <t>230 Washington Avenue Ext</t>
  </si>
  <si>
    <t>Ste 101</t>
  </si>
  <si>
    <t xml:space="preserve">12203-5319                                                                          </t>
  </si>
  <si>
    <t>SAMBA</t>
  </si>
  <si>
    <t>11301 Old Georgetown Rd</t>
  </si>
  <si>
    <t xml:space="preserve">20852-2800                                                                                                                   </t>
  </si>
  <si>
    <t>Commission on Accreditation for Health Informatics and</t>
  </si>
  <si>
    <t>Information Management Ed</t>
  </si>
  <si>
    <t>734141 Network Pl</t>
  </si>
  <si>
    <t xml:space="preserve">60673-0001                                                 </t>
  </si>
  <si>
    <t>Whetstone Consulting Inc</t>
  </si>
  <si>
    <t>816 S Hanley Rd Apt 9D</t>
  </si>
  <si>
    <t xml:space="preserve">63105-2678                                                                                               </t>
  </si>
  <si>
    <t>National Association of Healthcare Access Management</t>
  </si>
  <si>
    <t>8634 Solutions Ctr</t>
  </si>
  <si>
    <t xml:space="preserve">60677-8006                                                                           </t>
  </si>
  <si>
    <t>MedBen Health Benefits</t>
  </si>
  <si>
    <t>PO Box 1099</t>
  </si>
  <si>
    <t xml:space="preserve">43058-1099                                                                                                                 </t>
  </si>
  <si>
    <t>Lineco</t>
  </si>
  <si>
    <t>821 Parkview Blvd</t>
  </si>
  <si>
    <t xml:space="preserve">60148-7019                                                                                                                          </t>
  </si>
  <si>
    <t>Notre Dame of Maryland University Inc</t>
  </si>
  <si>
    <t>4701 N Charles St</t>
  </si>
  <si>
    <t xml:space="preserve">21210-2404                                                                                         </t>
  </si>
  <si>
    <t>Greenphire Inc</t>
  </si>
  <si>
    <t>630 Allendale Rd Ste 250</t>
  </si>
  <si>
    <t>King of Prussia</t>
  </si>
  <si>
    <t xml:space="preserve">19406-1418                                                                                                   </t>
  </si>
  <si>
    <t>St Louis MetroMarket</t>
  </si>
  <si>
    <t>4322 Wyoming St</t>
  </si>
  <si>
    <t xml:space="preserve">63116-1814                                                                                                          </t>
  </si>
  <si>
    <t>St Louis Fingerprints LLC</t>
  </si>
  <si>
    <t>2716 Telegraph Rd Ste 109</t>
  </si>
  <si>
    <t xml:space="preserve">63125-4080                                                                                           </t>
  </si>
  <si>
    <t>Aequitas LLC</t>
  </si>
  <si>
    <t>Alaris ADR Services</t>
  </si>
  <si>
    <t>711 N 11th St</t>
  </si>
  <si>
    <t xml:space="preserve">63101-1231                                                                                                 </t>
  </si>
  <si>
    <t>Ambetter Home State Health</t>
  </si>
  <si>
    <t>Attn Finance Dept</t>
  </si>
  <si>
    <t>PO Box 5010</t>
  </si>
  <si>
    <t>Farmington</t>
  </si>
  <si>
    <t xml:space="preserve">63640-5010                                                                                        </t>
  </si>
  <si>
    <t>Mikaila &amp; The Bees LLC</t>
  </si>
  <si>
    <t>Me And The Bees Lemonade</t>
  </si>
  <si>
    <t>PO Box 40098</t>
  </si>
  <si>
    <t xml:space="preserve">78704-0002                                                                                        </t>
  </si>
  <si>
    <t>Radiation Physics Solutions LLC</t>
  </si>
  <si>
    <t>7 Pennock Dr</t>
  </si>
  <si>
    <t>Garnet Valley</t>
  </si>
  <si>
    <t xml:space="preserve">19060-1433                                                                                                </t>
  </si>
  <si>
    <t>Equian LLC</t>
  </si>
  <si>
    <t>1212 S Naper Blvd Ste 119</t>
  </si>
  <si>
    <t>Naperville</t>
  </si>
  <si>
    <t xml:space="preserve">60540-7349                                                                                                           </t>
  </si>
  <si>
    <t>St. Louis Fire Deparment Lifesaving Foundation</t>
  </si>
  <si>
    <t>2634 Hampton Ave</t>
  </si>
  <si>
    <t xml:space="preserve">63139-2913                                                                               </t>
  </si>
  <si>
    <t>Association for Women in Science</t>
  </si>
  <si>
    <t>6181 Grovedale Ct</t>
  </si>
  <si>
    <t xml:space="preserve">22310-2553                                                                                             </t>
  </si>
  <si>
    <t>Excellus Blue Cross Blue Shield</t>
  </si>
  <si>
    <t>PO Box 22999</t>
  </si>
  <si>
    <t xml:space="preserve">14692-2999                                                                                                    </t>
  </si>
  <si>
    <t>Upstate Affiliate Organization</t>
  </si>
  <si>
    <t>Greenville Health System</t>
  </si>
  <si>
    <t>701 Grove Rd Fl 2</t>
  </si>
  <si>
    <t>Greenville</t>
  </si>
  <si>
    <t xml:space="preserve">29605-4210                                                                       </t>
  </si>
  <si>
    <t>iCircle Expo &amp; Events Pvt Ltd</t>
  </si>
  <si>
    <t>Kottoor Plaza</t>
  </si>
  <si>
    <t>W/C Hospital Rd</t>
  </si>
  <si>
    <t>Trivandrum</t>
  </si>
  <si>
    <t>Spring Street Lofts LLC</t>
  </si>
  <si>
    <t>1220 Saint Charles St</t>
  </si>
  <si>
    <t xml:space="preserve">63103-1806                                                                                                 </t>
  </si>
  <si>
    <t>Sullivan Advisors LLC</t>
  </si>
  <si>
    <t>613 Big Bend Rd Unit 907</t>
  </si>
  <si>
    <t xml:space="preserve">63011-6014                                                                                                    </t>
  </si>
  <si>
    <t>Big River Race Management LLC</t>
  </si>
  <si>
    <t>456 Sovereign Ct Ste B</t>
  </si>
  <si>
    <t>Life Account LLC</t>
  </si>
  <si>
    <t>Compass Professional Health Services</t>
  </si>
  <si>
    <t>Dept 3504</t>
  </si>
  <si>
    <t>PO Box 123504</t>
  </si>
  <si>
    <t xml:space="preserve">75312-0001                                                                        </t>
  </si>
  <si>
    <t>Alton Mental Health</t>
  </si>
  <si>
    <t>4500 College Ave</t>
  </si>
  <si>
    <t xml:space="preserve">62002-5099                                                                                                                </t>
  </si>
  <si>
    <t>Rogers PharmaConsulting LLC</t>
  </si>
  <si>
    <t>107 Pine St</t>
  </si>
  <si>
    <t>Woburn</t>
  </si>
  <si>
    <t xml:space="preserve">01801-3373                                                                                                            </t>
  </si>
  <si>
    <t>Medical Image Perception Society</t>
  </si>
  <si>
    <t>1709 E Gate Dr</t>
  </si>
  <si>
    <t>Stone Mountain</t>
  </si>
  <si>
    <t xml:space="preserve">30087-1910                                                                                            </t>
  </si>
  <si>
    <t>Jackson Lewis PC</t>
  </si>
  <si>
    <t>75 Park Plz Ste 4</t>
  </si>
  <si>
    <t xml:space="preserve">02116-3934                                                                                                                 </t>
  </si>
  <si>
    <t>Digital Theatre.com LTD</t>
  </si>
  <si>
    <t>Ground Fl Peninsular House</t>
  </si>
  <si>
    <t>30-36 Monument St</t>
  </si>
  <si>
    <t xml:space="preserve">EC3R 8NB                                                                                    </t>
  </si>
  <si>
    <t>Bogey Inc</t>
  </si>
  <si>
    <t>Bogey Club</t>
  </si>
  <si>
    <t>PO Box 78429</t>
  </si>
  <si>
    <t>Best Choice Realty LLC</t>
  </si>
  <si>
    <t>Remax Best Choice</t>
  </si>
  <si>
    <t>4568 Meramec Bottom Rd Ste 1</t>
  </si>
  <si>
    <t xml:space="preserve">63128-4601                                                                          </t>
  </si>
  <si>
    <t>University City Children's Center</t>
  </si>
  <si>
    <t>Lume Institute</t>
  </si>
  <si>
    <t>6646 Vernon Ave</t>
  </si>
  <si>
    <t xml:space="preserve">63130-2650                                                                               </t>
  </si>
  <si>
    <t>SoulMUCH Inc</t>
  </si>
  <si>
    <t>3960 W Point Loma Blvd</t>
  </si>
  <si>
    <t>Ste H Apt 213</t>
  </si>
  <si>
    <t>San Diego</t>
  </si>
  <si>
    <t xml:space="preserve">92110-5643                                                                                                </t>
  </si>
  <si>
    <t>Falsone Consulting PLLC</t>
  </si>
  <si>
    <t>2414 N 38th St</t>
  </si>
  <si>
    <t xml:space="preserve">85008-2222                                                                                                            </t>
  </si>
  <si>
    <t>Publishing Concepts Inc</t>
  </si>
  <si>
    <t>PO Box 17427</t>
  </si>
  <si>
    <t xml:space="preserve">72222-7427                                                                                                          </t>
  </si>
  <si>
    <t>Partners for Medical Relief</t>
  </si>
  <si>
    <t>PO Box 43254</t>
  </si>
  <si>
    <t xml:space="preserve">45243-0254                                                                                                       </t>
  </si>
  <si>
    <t>Georgia Tech Research Corporation</t>
  </si>
  <si>
    <t>505 10th St NW</t>
  </si>
  <si>
    <t xml:space="preserve">30318-5775                                                                                                  </t>
  </si>
  <si>
    <t>OSF Healthcare Foundation</t>
  </si>
  <si>
    <t>1 Saint Anthonys Way</t>
  </si>
  <si>
    <t xml:space="preserve">62002-0340                                                                                            </t>
  </si>
  <si>
    <t>RosmanSearch Inc</t>
  </si>
  <si>
    <t>30799 Pinetree Rd Unit 250</t>
  </si>
  <si>
    <t xml:space="preserve">44124-5903                                                                                                     </t>
  </si>
  <si>
    <t>Eloquentia Consulting LLC</t>
  </si>
  <si>
    <t>4409 Ventura Place Dr</t>
  </si>
  <si>
    <t xml:space="preserve">63128-3130                                                                                               </t>
  </si>
  <si>
    <t>Arlene McKenzie Catering</t>
  </si>
  <si>
    <t>1234 Temple Pl</t>
  </si>
  <si>
    <t xml:space="preserve">63112-2906                                                                                                       </t>
  </si>
  <si>
    <t>BB&amp;T Wealth Management</t>
  </si>
  <si>
    <t>230 Frederica St</t>
  </si>
  <si>
    <t>Owensboro</t>
  </si>
  <si>
    <t xml:space="preserve">42301-3003                                                                                                         </t>
  </si>
  <si>
    <t>HCC Life Insurance Company</t>
  </si>
  <si>
    <t>PO Box 2005</t>
  </si>
  <si>
    <t>Farmington Hills</t>
  </si>
  <si>
    <t xml:space="preserve">48333-2005                                                                                                   </t>
  </si>
  <si>
    <t>Burrow &amp; Associates LLC</t>
  </si>
  <si>
    <t>Attorneys At Law</t>
  </si>
  <si>
    <t>2280 Satellite Blvd Bldg A</t>
  </si>
  <si>
    <t xml:space="preserve">30097-5000                                                                                 </t>
  </si>
  <si>
    <t>International Firearm Specialist Academy</t>
  </si>
  <si>
    <t>PO Box 338</t>
  </si>
  <si>
    <t>Lake Dallas</t>
  </si>
  <si>
    <t xml:space="preserve">75065-0338                                                                                           </t>
  </si>
  <si>
    <t>Bergen County Directors of Guidance</t>
  </si>
  <si>
    <t>400 Hamilton Ave</t>
  </si>
  <si>
    <t>Glen Rock</t>
  </si>
  <si>
    <t xml:space="preserve">07452-3432                                                                                            </t>
  </si>
  <si>
    <t>Lipman Hearne Inc</t>
  </si>
  <si>
    <t>PO Box 88634</t>
  </si>
  <si>
    <t xml:space="preserve">60680-1634                                                                                                                    </t>
  </si>
  <si>
    <t>Robert Fechtner MD PLLC</t>
  </si>
  <si>
    <t>7085 Coronation Cir</t>
  </si>
  <si>
    <t>Fayetteville</t>
  </si>
  <si>
    <t xml:space="preserve">13066-8716                                                                                                  </t>
  </si>
  <si>
    <t>SWD Operation Company</t>
  </si>
  <si>
    <t>Westin Hotel Austin</t>
  </si>
  <si>
    <t>11301 Domain Dr</t>
  </si>
  <si>
    <t xml:space="preserve">78758-7796                                                                                           </t>
  </si>
  <si>
    <t>Quires Srl</t>
  </si>
  <si>
    <t>Via Antonio Canova 1</t>
  </si>
  <si>
    <t>Dogana</t>
  </si>
  <si>
    <t xml:space="preserve">SM 47891                                                                                                                        </t>
  </si>
  <si>
    <t>Procedural Learning and Safety Collaborative Inc</t>
  </si>
  <si>
    <t>177 Huntington Ave Ste 1703</t>
  </si>
  <si>
    <t xml:space="preserve">02115-3153                                                                       </t>
  </si>
  <si>
    <t>Bee Nana LLC</t>
  </si>
  <si>
    <t>3711 Shore Pkwy</t>
  </si>
  <si>
    <t xml:space="preserve">11235-1649                                                                                                                     </t>
  </si>
  <si>
    <t>Quorum Review Inc</t>
  </si>
  <si>
    <t>PO Box 84572</t>
  </si>
  <si>
    <t xml:space="preserve">98124-5872                                                                                                                    </t>
  </si>
  <si>
    <t>Harbor Institute</t>
  </si>
  <si>
    <t>2020 Pennsylvania Ave NW</t>
  </si>
  <si>
    <t>Ste 550</t>
  </si>
  <si>
    <t xml:space="preserve">20006-1811                                                                                               </t>
  </si>
  <si>
    <t>World Society for Pediatric and Congenital Heart Surgery</t>
  </si>
  <si>
    <t>Montreal Childrens Hospital</t>
  </si>
  <si>
    <t>1001 Decarie Blvd Rm B 04.2915</t>
  </si>
  <si>
    <t xml:space="preserve">H4A3J1                                   </t>
  </si>
  <si>
    <t>Clark Street Jesuit Community</t>
  </si>
  <si>
    <t>Chicago Province of The Society of Jesus</t>
  </si>
  <si>
    <t>Chicago Province of The</t>
  </si>
  <si>
    <t>357 W Dickens Ave</t>
  </si>
  <si>
    <t xml:space="preserve">60614-4645                                    </t>
  </si>
  <si>
    <t>Arch City Defenders Inc</t>
  </si>
  <si>
    <t>1210 Locust St Fl 2</t>
  </si>
  <si>
    <t xml:space="preserve">63103-2322                                                                                                   </t>
  </si>
  <si>
    <t>JCW Enterprises LLC</t>
  </si>
  <si>
    <t>PO Box 640342</t>
  </si>
  <si>
    <t xml:space="preserve">33164-0342                                                                                                                   </t>
  </si>
  <si>
    <t>John Lee Clark</t>
  </si>
  <si>
    <t>500 Cambridge St Apt 100</t>
  </si>
  <si>
    <t>Hopkins</t>
  </si>
  <si>
    <t xml:space="preserve">55343-8112                                                                                                           </t>
  </si>
  <si>
    <t>Childrens Home Society of Missouri</t>
  </si>
  <si>
    <t>Family Forward</t>
  </si>
  <si>
    <t>1167 Corporate Lake Dr</t>
  </si>
  <si>
    <t xml:space="preserve">63132-1716                                                                       </t>
  </si>
  <si>
    <t>Desi Dance Network Inc</t>
  </si>
  <si>
    <t>3203 Davis St</t>
  </si>
  <si>
    <t>Oakland</t>
  </si>
  <si>
    <t xml:space="preserve">94601-2609                                                                                                              </t>
  </si>
  <si>
    <t>Louisa Sperber and Gori Julian &amp; Associates P.C</t>
  </si>
  <si>
    <t>156 N Main St</t>
  </si>
  <si>
    <t xml:space="preserve">62025-1902                                                                                </t>
  </si>
  <si>
    <t>Peggy Browning Fund</t>
  </si>
  <si>
    <t>100 S Broad St Ste 1208</t>
  </si>
  <si>
    <t xml:space="preserve">19110-1015                                                                                                  </t>
  </si>
  <si>
    <t>Collaborations Pharmaceuticals</t>
  </si>
  <si>
    <t>5616 Hilltop Needmore Rd</t>
  </si>
  <si>
    <t>Fuquay Varina</t>
  </si>
  <si>
    <t xml:space="preserve">27526-9278                                                                                     </t>
  </si>
  <si>
    <t>Corporate Risk Holdings III Inc</t>
  </si>
  <si>
    <t>Hireright LLC</t>
  </si>
  <si>
    <t>PO Box 847891</t>
  </si>
  <si>
    <t xml:space="preserve">75284-0001                                                                                         </t>
  </si>
  <si>
    <t>Evans Law Firm PC</t>
  </si>
  <si>
    <t>817 W Highway 50</t>
  </si>
  <si>
    <t xml:space="preserve">62269-1828                                                                                                               </t>
  </si>
  <si>
    <t>Wade Tours Inc</t>
  </si>
  <si>
    <t>797 Burdeck St</t>
  </si>
  <si>
    <t>Schenectady</t>
  </si>
  <si>
    <t xml:space="preserve">12306-1297                                                                                                                 </t>
  </si>
  <si>
    <t>Dream Time Princess Events LLC</t>
  </si>
  <si>
    <t>918 Ranch Ln</t>
  </si>
  <si>
    <t>Villa Ridge</t>
  </si>
  <si>
    <t xml:space="preserve">63089-1404                                                                                                   </t>
  </si>
  <si>
    <t>Key Strategic</t>
  </si>
  <si>
    <t>4444 Lindell Blvd Apt 8</t>
  </si>
  <si>
    <t xml:space="preserve">63108-2486                                                                                                         </t>
  </si>
  <si>
    <t>Loretto Literary &amp; Benevolent Institution</t>
  </si>
  <si>
    <t>515 Nerinx Rd</t>
  </si>
  <si>
    <t>Nerinx</t>
  </si>
  <si>
    <t xml:space="preserve">40049-9998                                                                                            </t>
  </si>
  <si>
    <t>RPAQ Solutions</t>
  </si>
  <si>
    <t>1433 Floral St NW</t>
  </si>
  <si>
    <t xml:space="preserve">20012-1513                                                                                                               </t>
  </si>
  <si>
    <t>City Greens Market</t>
  </si>
  <si>
    <t>4260 Manchester Ave</t>
  </si>
  <si>
    <t xml:space="preserve">63110-3826                                                                                                        </t>
  </si>
  <si>
    <t>St Lukes Des Peres Episcopal-Presbyterian Hospital</t>
  </si>
  <si>
    <t xml:space="preserve">63122-3313                                                </t>
  </si>
  <si>
    <t>Hester Group LLC</t>
  </si>
  <si>
    <t>3920 Lindell Blvd Ste 103</t>
  </si>
  <si>
    <t xml:space="preserve">63108-3254                                                                                                    </t>
  </si>
  <si>
    <t>Pipe Trades Industry Health and Welfare Plan</t>
  </si>
  <si>
    <t>PO Box 3040</t>
  </si>
  <si>
    <t>Terre Haute</t>
  </si>
  <si>
    <t xml:space="preserve">47803-0040                                                                                      </t>
  </si>
  <si>
    <t>First Mid Wealth Management</t>
  </si>
  <si>
    <t>1515 Charleston Ave</t>
  </si>
  <si>
    <t>Mattoon</t>
  </si>
  <si>
    <t xml:space="preserve">61938-3932                                                                                                   </t>
  </si>
  <si>
    <t>Brite Bites</t>
  </si>
  <si>
    <t>325 E Grand River Ave Ste 345</t>
  </si>
  <si>
    <t>East Lansing</t>
  </si>
  <si>
    <t xml:space="preserve">48823-4375                                                                                                    </t>
  </si>
  <si>
    <t>Underline Studio Inc</t>
  </si>
  <si>
    <t>247 Wallace Ave 2nd Fl</t>
  </si>
  <si>
    <t xml:space="preserve">M6H 1V5                                                                                                          </t>
  </si>
  <si>
    <t>Dominican Sisters of Springfield Illinois</t>
  </si>
  <si>
    <t>1237 W Monroe St</t>
  </si>
  <si>
    <t xml:space="preserve">62704-1680                                                                                    </t>
  </si>
  <si>
    <t>Popular Culture Association</t>
  </si>
  <si>
    <t>421 E Oak St</t>
  </si>
  <si>
    <t>Mason</t>
  </si>
  <si>
    <t xml:space="preserve">48854-1780                                                                                                            </t>
  </si>
  <si>
    <t>St. Mary's Hopsital</t>
  </si>
  <si>
    <t>400 N Pleasant Ave</t>
  </si>
  <si>
    <t>Centralia</t>
  </si>
  <si>
    <t xml:space="preserve">62801-3098                                                                                                          </t>
  </si>
  <si>
    <t>State of California</t>
  </si>
  <si>
    <t>Franchise Tax Board Treasurer</t>
  </si>
  <si>
    <t>PO Box 1286</t>
  </si>
  <si>
    <t>Rancho Cordova</t>
  </si>
  <si>
    <t xml:space="preserve">95741-1286                                                                               </t>
  </si>
  <si>
    <t>Auburn University</t>
  </si>
  <si>
    <t>Pre Law Programs</t>
  </si>
  <si>
    <t>Attn: Debra Armstrong-Wright</t>
  </si>
  <si>
    <t>7080 Maley Center</t>
  </si>
  <si>
    <t xml:space="preserve">36849-0001                                                         </t>
  </si>
  <si>
    <t>Accutime LLC</t>
  </si>
  <si>
    <t>476 Old Smizer Mill Rd Apt 114</t>
  </si>
  <si>
    <t xml:space="preserve">63026-3553                                                                                                        </t>
  </si>
  <si>
    <t>San Francisco State University</t>
  </si>
  <si>
    <t>Bursar's Office Adm 155</t>
  </si>
  <si>
    <t>1600 Holloway Ave</t>
  </si>
  <si>
    <t xml:space="preserve">94132-1740                                                                     </t>
  </si>
  <si>
    <t>Conference of Jesuit Admission Directors</t>
  </si>
  <si>
    <t>2500 California Plz</t>
  </si>
  <si>
    <t xml:space="preserve">68178-0133                                                                                        </t>
  </si>
  <si>
    <t>U S Department of Homeland Security</t>
  </si>
  <si>
    <t>Uscis Nebraska Service Center</t>
  </si>
  <si>
    <t>8500 S Street</t>
  </si>
  <si>
    <t>Lincoln</t>
  </si>
  <si>
    <t>Rectors and Visitors of the University of Virginia</t>
  </si>
  <si>
    <t>PO Box 400195</t>
  </si>
  <si>
    <t xml:space="preserve">22904-4195                                                                          </t>
  </si>
  <si>
    <t>Tuition Exchange Inc</t>
  </si>
  <si>
    <t>3 Bethesda Metro Ctr Ste 700</t>
  </si>
  <si>
    <t xml:space="preserve">20814-6300                                                                                                </t>
  </si>
  <si>
    <t>Regents of the University of California at Irvine</t>
  </si>
  <si>
    <t>Tlg Project</t>
  </si>
  <si>
    <t>220 University Tower</t>
  </si>
  <si>
    <t xml:space="preserve">92697-0001                                                                  </t>
  </si>
  <si>
    <t>President and Fellows of Harvard College</t>
  </si>
  <si>
    <t>Finance Department</t>
  </si>
  <si>
    <t>13 Appian Way Fl 5</t>
  </si>
  <si>
    <t xml:space="preserve">02138-3703                                                                   </t>
  </si>
  <si>
    <t>Delta Dental of Missouri</t>
  </si>
  <si>
    <t>12399 Gravois Rd Fl 2</t>
  </si>
  <si>
    <t xml:space="preserve">63127-1761                                                                                                </t>
  </si>
  <si>
    <t>Accreditation Board for Engineering and Technology Inc</t>
  </si>
  <si>
    <t>415 N Charles St</t>
  </si>
  <si>
    <t xml:space="preserve">21201-4405                                                                         </t>
  </si>
  <si>
    <t>National Assn of College &amp; Univ Business Officers</t>
  </si>
  <si>
    <t>2501 M St NW Ste 400</t>
  </si>
  <si>
    <t xml:space="preserve">20037-1322                                                                         </t>
  </si>
  <si>
    <t>Association of University Radiologists</t>
  </si>
  <si>
    <t>Membership Office</t>
  </si>
  <si>
    <t>820 Jorie Blvd</t>
  </si>
  <si>
    <t xml:space="preserve">60523-2284                                                                          </t>
  </si>
  <si>
    <t>McMaster Carr</t>
  </si>
  <si>
    <t>PO Box 7690</t>
  </si>
  <si>
    <t xml:space="preserve">60680-7690                                                                                                                         </t>
  </si>
  <si>
    <t>The New York Times</t>
  </si>
  <si>
    <t>Digital</t>
  </si>
  <si>
    <t>W4825</t>
  </si>
  <si>
    <t>PO Box 7777</t>
  </si>
  <si>
    <t xml:space="preserve">19175-0001                                                                                                   </t>
  </si>
  <si>
    <t>State Farm Insurance</t>
  </si>
  <si>
    <t>Health Operations Center West</t>
  </si>
  <si>
    <t>PO Box 339403</t>
  </si>
  <si>
    <t>Greeley</t>
  </si>
  <si>
    <t xml:space="preserve">80633-9403                                                                                   </t>
  </si>
  <si>
    <t>National Accrediting Agency for Clinical Laboratory Sciences</t>
  </si>
  <si>
    <t>27321 Network Pl</t>
  </si>
  <si>
    <t xml:space="preserve">60673-1273                                                                     </t>
  </si>
  <si>
    <t>National Notary Association</t>
  </si>
  <si>
    <t>PO Box 2402</t>
  </si>
  <si>
    <t>9350 De Soto Ave</t>
  </si>
  <si>
    <t>Chatsworth</t>
  </si>
  <si>
    <t xml:space="preserve">91311-4926                                                                                        </t>
  </si>
  <si>
    <t>Omicron Delta Kappa Society Inc</t>
  </si>
  <si>
    <t>224 McLaughlin St</t>
  </si>
  <si>
    <t xml:space="preserve">24450-2002                                                                                               </t>
  </si>
  <si>
    <t>Missouri Baptist Medical Center</t>
  </si>
  <si>
    <t>PO Box 958361</t>
  </si>
  <si>
    <t xml:space="preserve">63195-8361                                                                                                 </t>
  </si>
  <si>
    <t>Datafax of St. Louis</t>
  </si>
  <si>
    <t>PO Box 220617</t>
  </si>
  <si>
    <t xml:space="preserve">63122-0617                                                                                                            </t>
  </si>
  <si>
    <t>Lashly and Baer PC</t>
  </si>
  <si>
    <t>714 Locust St</t>
  </si>
  <si>
    <t xml:space="preserve">63101-1699                                                                                                              </t>
  </si>
  <si>
    <t>St Josephs Hospital</t>
  </si>
  <si>
    <t>Hospital Sisters 3rd Order Of</t>
  </si>
  <si>
    <t>9515 Holy Cross Ln</t>
  </si>
  <si>
    <t>Breese</t>
  </si>
  <si>
    <t xml:space="preserve">62230-3618                                                                                </t>
  </si>
  <si>
    <t>Hastings and Chivetta Architects Inc</t>
  </si>
  <si>
    <t>622 Emerson Rd Ste 200</t>
  </si>
  <si>
    <t xml:space="preserve">63141-6727                                                                                   </t>
  </si>
  <si>
    <t>Mayo Foundation for Medical Education and Research</t>
  </si>
  <si>
    <t>200 First St SW</t>
  </si>
  <si>
    <t xml:space="preserve">55905-0001                                                                              </t>
  </si>
  <si>
    <t>Anheuser-Busch InBev Worldwide Inc</t>
  </si>
  <si>
    <t>1127 Pestalozzi St</t>
  </si>
  <si>
    <t xml:space="preserve">63118-1816                                                                                         </t>
  </si>
  <si>
    <t>State Disbursement Unit</t>
  </si>
  <si>
    <t>PO Box 5400</t>
  </si>
  <si>
    <t xml:space="preserve">60197-5400                                                                                                          </t>
  </si>
  <si>
    <t>Jesuit Retreat House</t>
  </si>
  <si>
    <t>300 Manresa Way</t>
  </si>
  <si>
    <t>Los Altos</t>
  </si>
  <si>
    <t xml:space="preserve">94022-4659                                                                                                            </t>
  </si>
  <si>
    <t>West Publishing Corporation</t>
  </si>
  <si>
    <t>Thomson Reuters</t>
  </si>
  <si>
    <t>39763 Treasury Center</t>
  </si>
  <si>
    <t xml:space="preserve">60694-0001                                                                                  </t>
  </si>
  <si>
    <t>Association of Department of Family Medicine</t>
  </si>
  <si>
    <t>PO Box 34082</t>
  </si>
  <si>
    <t xml:space="preserve">40588-4082                                                                                       </t>
  </si>
  <si>
    <t>TouchNet Information Systems Inc</t>
  </si>
  <si>
    <t>15520 College Blvd</t>
  </si>
  <si>
    <t>Lenexa</t>
  </si>
  <si>
    <t xml:space="preserve">66219-1353                                                                                                </t>
  </si>
  <si>
    <t>District 9 IA of M</t>
  </si>
  <si>
    <t>12365 Saint Charles Rock Rd</t>
  </si>
  <si>
    <t>Ste 1</t>
  </si>
  <si>
    <t>Bridgeton</t>
  </si>
  <si>
    <t xml:space="preserve">63044-2503                                                                                             </t>
  </si>
  <si>
    <t>UMB Bank N A</t>
  </si>
  <si>
    <t>Attn Trust Fees Department</t>
  </si>
  <si>
    <t>PO Box 414589</t>
  </si>
  <si>
    <t xml:space="preserve">64141-4589                                                                                          </t>
  </si>
  <si>
    <t>Russell Colonial Funeral Home</t>
  </si>
  <si>
    <t>530 E Springfield Rd</t>
  </si>
  <si>
    <t>Saint Clair</t>
  </si>
  <si>
    <t xml:space="preserve">63077-1798                                                                                            </t>
  </si>
  <si>
    <t>Armstrong Teasdale LLP</t>
  </si>
  <si>
    <t>7700 Forsyth Blvd Ste 1800</t>
  </si>
  <si>
    <t xml:space="preserve">63105-1847                                                                                             </t>
  </si>
  <si>
    <t>State of Florida</t>
  </si>
  <si>
    <t>Dept Of Financial Services</t>
  </si>
  <si>
    <t>200 E Gaines St</t>
  </si>
  <si>
    <t xml:space="preserve">32399-0001                                                                                    </t>
  </si>
  <si>
    <t>Board of Trustees of Southern Illinois University Carbondale</t>
  </si>
  <si>
    <t>Siu School of Medicine</t>
  </si>
  <si>
    <t>PO Box 19625</t>
  </si>
  <si>
    <t xml:space="preserve">62794-9625                                               </t>
  </si>
  <si>
    <t>Inteum Company LLC</t>
  </si>
  <si>
    <t>9720 NE 120th Pl Ste 101</t>
  </si>
  <si>
    <t>Kirkland</t>
  </si>
  <si>
    <t xml:space="preserve">98034-4283                                                                                                      </t>
  </si>
  <si>
    <t>Pearson Education Inc</t>
  </si>
  <si>
    <t>Edinburgh Gate</t>
  </si>
  <si>
    <t>Harlow Essex</t>
  </si>
  <si>
    <t>CM20 2JE</t>
  </si>
  <si>
    <t>United Kingdom</t>
  </si>
  <si>
    <t xml:space="preserve">                                                                                               </t>
  </si>
  <si>
    <t>Hazzard Moving and Storage</t>
  </si>
  <si>
    <t>State of Missouri</t>
  </si>
  <si>
    <t>PO Box 809</t>
  </si>
  <si>
    <t xml:space="preserve">65102-0809                                                                                                               </t>
  </si>
  <si>
    <t>CDW Government Inc</t>
  </si>
  <si>
    <t>230 N Milwaukee Ave</t>
  </si>
  <si>
    <t>Vernon Hills</t>
  </si>
  <si>
    <t xml:space="preserve">60061-4304                                                                                                       </t>
  </si>
  <si>
    <t>Missouri State Medical Association</t>
  </si>
  <si>
    <t xml:space="preserve">63179-0379                                                                                              </t>
  </si>
  <si>
    <t>Ritenour School District</t>
  </si>
  <si>
    <t>Attn: Dwight Lindhorst</t>
  </si>
  <si>
    <t>2420 Woodson Rd</t>
  </si>
  <si>
    <t xml:space="preserve">63114-5499                                                                                </t>
  </si>
  <si>
    <t>Mehlville School District</t>
  </si>
  <si>
    <t>3120 Lemay Ferry Rd</t>
  </si>
  <si>
    <t xml:space="preserve">63125-4416                                                                                                 </t>
  </si>
  <si>
    <t>Harmony Health Plan</t>
  </si>
  <si>
    <t xml:space="preserve">19178-0001                                                                                                         </t>
  </si>
  <si>
    <t>Brepols Publishers NV</t>
  </si>
  <si>
    <t>Begijnhof 67</t>
  </si>
  <si>
    <t>Turnhout</t>
  </si>
  <si>
    <t>John Wiley and Sons Inc</t>
  </si>
  <si>
    <t>PO Box 416502</t>
  </si>
  <si>
    <t xml:space="preserve">02241-6502                                                                                                              </t>
  </si>
  <si>
    <t>Tricare</t>
  </si>
  <si>
    <t>Camden</t>
  </si>
  <si>
    <t xml:space="preserve">29021-7065                                                                                                                                </t>
  </si>
  <si>
    <t>Lonning Mortuary Service</t>
  </si>
  <si>
    <t>2115 Parkway Dr Ste G</t>
  </si>
  <si>
    <t xml:space="preserve">63376-6446                                                                                               </t>
  </si>
  <si>
    <t>City of St Louis</t>
  </si>
  <si>
    <t>Environmental Health Department</t>
  </si>
  <si>
    <t>Environmental Health</t>
  </si>
  <si>
    <t>1520 Market St Rm 4051</t>
  </si>
  <si>
    <t xml:space="preserve">63103-2626                                                    </t>
  </si>
  <si>
    <t>Kenrick-Glennon Seminary</t>
  </si>
  <si>
    <t>5200 Glennon Dr</t>
  </si>
  <si>
    <t xml:space="preserve">63119-4330                                                                                                      </t>
  </si>
  <si>
    <t>Northside Community Center</t>
  </si>
  <si>
    <t>4120 Maffitt Ave</t>
  </si>
  <si>
    <t xml:space="preserve">63113-2933                                                                                                   </t>
  </si>
  <si>
    <t>Chaffee County Treasurer</t>
  </si>
  <si>
    <t>PO Box 249</t>
  </si>
  <si>
    <t>Salida</t>
  </si>
  <si>
    <t xml:space="preserve">81201-0249                                                                                                                </t>
  </si>
  <si>
    <t>American Speech Language Hearing Association</t>
  </si>
  <si>
    <t>C/O Suntrust Bank</t>
  </si>
  <si>
    <t>PO Box 79952</t>
  </si>
  <si>
    <t xml:space="preserve">21279-0001                                                                      </t>
  </si>
  <si>
    <t>University Corporation for Advanced Internet Development</t>
  </si>
  <si>
    <t>PO Box 7855</t>
  </si>
  <si>
    <t xml:space="preserve">48107-7855                                                                            </t>
  </si>
  <si>
    <t>Highmark Blue Shield</t>
  </si>
  <si>
    <t>Cashier</t>
  </si>
  <si>
    <t>PO Box 890150</t>
  </si>
  <si>
    <t>Camp Hill</t>
  </si>
  <si>
    <t xml:space="preserve">17089-0001                                                                                                       </t>
  </si>
  <si>
    <t>Senniger Powers LLP</t>
  </si>
  <si>
    <t>PO Box 840168</t>
  </si>
  <si>
    <t xml:space="preserve">64184-0168                                                                                                             </t>
  </si>
  <si>
    <t>National Matching Services</t>
  </si>
  <si>
    <t>20 Holly Street Ste 301</t>
  </si>
  <si>
    <t xml:space="preserve">M4S3B1                                                                                                    </t>
  </si>
  <si>
    <t>City Museum I LLC</t>
  </si>
  <si>
    <t>701 N 15th St Ste 29</t>
  </si>
  <si>
    <t xml:space="preserve">63103-1925                                                                                                        </t>
  </si>
  <si>
    <t>Allstate Insurance</t>
  </si>
  <si>
    <t>Specialty Operations</t>
  </si>
  <si>
    <t>3075 Sanders Rd</t>
  </si>
  <si>
    <t>Northbrook</t>
  </si>
  <si>
    <t xml:space="preserve">60062-7127                                                                                         </t>
  </si>
  <si>
    <t>National Academy of Sciences</t>
  </si>
  <si>
    <t>2101 Constitution Ave NW</t>
  </si>
  <si>
    <t xml:space="preserve">20418-0006                                                                                          </t>
  </si>
  <si>
    <t>WPS Tricare for Life</t>
  </si>
  <si>
    <t>PO Box 77030</t>
  </si>
  <si>
    <t xml:space="preserve">53707-1030                                                                                                                 </t>
  </si>
  <si>
    <t>Illinois Wesleyan University</t>
  </si>
  <si>
    <t>1312 Park St</t>
  </si>
  <si>
    <t xml:space="preserve">61701-1773                                                                                                     </t>
  </si>
  <si>
    <t>National Panhellenic Conference</t>
  </si>
  <si>
    <t>3901 W 86th St Ste 398</t>
  </si>
  <si>
    <t>Indianapolis</t>
  </si>
  <si>
    <t xml:space="preserve">46268-1799                                                                                       </t>
  </si>
  <si>
    <t>American Board of Neurological Surgery</t>
  </si>
  <si>
    <t>245 Amity Rd Ste 208</t>
  </si>
  <si>
    <t>Woodbridge</t>
  </si>
  <si>
    <t xml:space="preserve">06525-2256                                                                                    </t>
  </si>
  <si>
    <t>Neville Richards and Wuller LLC</t>
  </si>
  <si>
    <t>5 Park Pl Professional Ctr</t>
  </si>
  <si>
    <t>National Association for Geriatric Education</t>
  </si>
  <si>
    <t>Virginia Center On Aging</t>
  </si>
  <si>
    <t>PO Box 980220</t>
  </si>
  <si>
    <t xml:space="preserve">23298-0220                                                               </t>
  </si>
  <si>
    <t>Assn of Anatomy Cell Bio Neurobiology Chairpersons</t>
  </si>
  <si>
    <t>Dale R Sumner</t>
  </si>
  <si>
    <t>Rush University Medical Center</t>
  </si>
  <si>
    <t>600 S Paulina St Ste 507 AcFac</t>
  </si>
  <si>
    <t xml:space="preserve">60612-3806                      </t>
  </si>
  <si>
    <t>Edward Elgar Publishing</t>
  </si>
  <si>
    <t>William Pratt House</t>
  </si>
  <si>
    <t>9 Dewey Ct</t>
  </si>
  <si>
    <t>Northampton</t>
  </si>
  <si>
    <t xml:space="preserve">01060-3815                                                                                         </t>
  </si>
  <si>
    <t>Maryland Board of Physicians</t>
  </si>
  <si>
    <t>4201 Patterson Ave Fl 3</t>
  </si>
  <si>
    <t>PO Box 2571</t>
  </si>
  <si>
    <t xml:space="preserve">21215-0095                                                                                 </t>
  </si>
  <si>
    <t>Mascoutah Community Unit School District #19</t>
  </si>
  <si>
    <t>421 W Harnett St</t>
  </si>
  <si>
    <t>Mascoutah</t>
  </si>
  <si>
    <t xml:space="preserve">62258-1362                                                                                   </t>
  </si>
  <si>
    <t>Archdiocese of St Louis</t>
  </si>
  <si>
    <t>St. Louis Review</t>
  </si>
  <si>
    <t>Mailstop 140942</t>
  </si>
  <si>
    <t>PO Box 953745</t>
  </si>
  <si>
    <t xml:space="preserve">63195-0001                                                                          </t>
  </si>
  <si>
    <t>St Lukes Episcopal Presbyterian Hospitals</t>
  </si>
  <si>
    <t>PO Box 60974</t>
  </si>
  <si>
    <t xml:space="preserve">63160-0974                                                                                        </t>
  </si>
  <si>
    <t>Brandow Company</t>
  </si>
  <si>
    <t>Bizminer</t>
  </si>
  <si>
    <t>2601 Market St Ste 1</t>
  </si>
  <si>
    <t xml:space="preserve">17011-4638                                                                                                    </t>
  </si>
  <si>
    <t>Marcive Inc</t>
  </si>
  <si>
    <t>PO Box 47508</t>
  </si>
  <si>
    <t xml:space="preserve">78265-7508                                                                                                                      </t>
  </si>
  <si>
    <t>Belleville Township High School District 201</t>
  </si>
  <si>
    <t>Belleville West High School</t>
  </si>
  <si>
    <t>4063 Frank Scott Pkwy W</t>
  </si>
  <si>
    <t xml:space="preserve">62223-6802                                                </t>
  </si>
  <si>
    <t>Gitana Productions</t>
  </si>
  <si>
    <t>PO Box 300322</t>
  </si>
  <si>
    <t xml:space="preserve">63130-0162                                                                                                              </t>
  </si>
  <si>
    <t>Barlow Productions Inc</t>
  </si>
  <si>
    <t>1115 Olivette Executive Pkwy</t>
  </si>
  <si>
    <t xml:space="preserve">63132-3265                                                                                           </t>
  </si>
  <si>
    <t>Council of Deans and Directors of Greater St Louis</t>
  </si>
  <si>
    <t>PO Box 1000</t>
  </si>
  <si>
    <t>Park Hills</t>
  </si>
  <si>
    <t xml:space="preserve">63601-1000                                                                                 </t>
  </si>
  <si>
    <t>King's House Retreat and Renewal Center</t>
  </si>
  <si>
    <t>700 N 66th St</t>
  </si>
  <si>
    <t xml:space="preserve">62223-3949                                                                                          </t>
  </si>
  <si>
    <t>Missouri Jobs with Justice</t>
  </si>
  <si>
    <t>2725 Clifton Ave</t>
  </si>
  <si>
    <t xml:space="preserve">63139-2712                                                                                                   </t>
  </si>
  <si>
    <t>Essence Healthcare</t>
  </si>
  <si>
    <t>PO Box 12488</t>
  </si>
  <si>
    <t xml:space="preserve">63132-0188                                                                                                               </t>
  </si>
  <si>
    <t>Miami University</t>
  </si>
  <si>
    <t>c/o Yvette R Simpson</t>
  </si>
  <si>
    <t>Director Pre-Law Programs</t>
  </si>
  <si>
    <t>159 Upham Hall</t>
  </si>
  <si>
    <t>Oxford</t>
  </si>
  <si>
    <t>West Park Painting Inc</t>
  </si>
  <si>
    <t>254 Hanley Industrial Ct</t>
  </si>
  <si>
    <t xml:space="preserve">63144-1508                                                                                               </t>
  </si>
  <si>
    <t>Marquette University</t>
  </si>
  <si>
    <t>PO Box 1881</t>
  </si>
  <si>
    <t xml:space="preserve">53201-1881                                                                                                                </t>
  </si>
  <si>
    <t>Letouzey &amp; Ane</t>
  </si>
  <si>
    <t>87 Boulevard Raspail</t>
  </si>
  <si>
    <t>Paris France</t>
  </si>
  <si>
    <t>Associated Regional and University Pathologists Inc</t>
  </si>
  <si>
    <t>Arup Laboratories Inc</t>
  </si>
  <si>
    <t>500 S Chipeta Way</t>
  </si>
  <si>
    <t xml:space="preserve">84108-1221                                                 </t>
  </si>
  <si>
    <t>BH Inc</t>
  </si>
  <si>
    <t>dba Britz and Co</t>
  </si>
  <si>
    <t>1302 9th St</t>
  </si>
  <si>
    <t>Wheatland</t>
  </si>
  <si>
    <t xml:space="preserve">82201-2302                                                                                                              </t>
  </si>
  <si>
    <t>Greater Western Library Alliance</t>
  </si>
  <si>
    <t>PO Box 219789</t>
  </si>
  <si>
    <t xml:space="preserve">64121-9789                                                                                                </t>
  </si>
  <si>
    <t>New Innovations Inc</t>
  </si>
  <si>
    <t>3540 Forest Lake Dr</t>
  </si>
  <si>
    <t>Uniontown</t>
  </si>
  <si>
    <t xml:space="preserve">44685-8105                                                                                                         </t>
  </si>
  <si>
    <t>American Glaucoma Society</t>
  </si>
  <si>
    <t>Dept Box 34086</t>
  </si>
  <si>
    <t xml:space="preserve">94139-0001                                                                                        </t>
  </si>
  <si>
    <t>William S Hein and Co</t>
  </si>
  <si>
    <t>2350 N Forest Rd Ste 14A</t>
  </si>
  <si>
    <t>Getzville</t>
  </si>
  <si>
    <t xml:space="preserve">14068-1296                                                                                                  </t>
  </si>
  <si>
    <t>St Louis Community College</t>
  </si>
  <si>
    <t>Business Services</t>
  </si>
  <si>
    <t>11333 Big Bend Rd</t>
  </si>
  <si>
    <t xml:space="preserve">63122-5799                                                                                 </t>
  </si>
  <si>
    <t>Ithaka Harbors Inc</t>
  </si>
  <si>
    <t>PO Box 419654</t>
  </si>
  <si>
    <t xml:space="preserve">02241-9654                                                                                                                   </t>
  </si>
  <si>
    <t>Council of Graduate Schools</t>
  </si>
  <si>
    <t>1 Dupont Cir NW Ste 230</t>
  </si>
  <si>
    <t xml:space="preserve">20036-1173                                                                                            </t>
  </si>
  <si>
    <t>Morehouse College</t>
  </si>
  <si>
    <t>Political Science Department</t>
  </si>
  <si>
    <t>Wheeler Hall Rm 329</t>
  </si>
  <si>
    <t>830 Westview Dr SW</t>
  </si>
  <si>
    <t xml:space="preserve">30314-3776                                                               </t>
  </si>
  <si>
    <t>Ovid Technologies Inc</t>
  </si>
  <si>
    <t>4603 Paysphere Cir</t>
  </si>
  <si>
    <t xml:space="preserve">60674-0046                                                                                                          </t>
  </si>
  <si>
    <t>St Louis Metropolitan Medical Society</t>
  </si>
  <si>
    <t>Msma</t>
  </si>
  <si>
    <t xml:space="preserve">63179-0379                                                                                       </t>
  </si>
  <si>
    <t>Academy of Nutrition and Dietetics</t>
  </si>
  <si>
    <t>c/o Compusystems Inc</t>
  </si>
  <si>
    <t>PO Box 6271</t>
  </si>
  <si>
    <t>Maywood</t>
  </si>
  <si>
    <t xml:space="preserve">60155-6271                                                                                </t>
  </si>
  <si>
    <t>EMD Millipore Corporation</t>
  </si>
  <si>
    <t>25802 Network Pl</t>
  </si>
  <si>
    <t xml:space="preserve">60673-1258                                                                                                        </t>
  </si>
  <si>
    <t>St Louis Affiliate Susan G Komen Breast Cancer Foundation</t>
  </si>
  <si>
    <t>PO Box 790129</t>
  </si>
  <si>
    <t xml:space="preserve">63179-0129                                                                       </t>
  </si>
  <si>
    <t>American Theological Library Association</t>
  </si>
  <si>
    <t>Member Services</t>
  </si>
  <si>
    <t>300 S Wacker Dr Ste 2100</t>
  </si>
  <si>
    <t xml:space="preserve">60606-6701                                                                  </t>
  </si>
  <si>
    <t>Advisory Board Company</t>
  </si>
  <si>
    <t>Education Advisory Board</t>
  </si>
  <si>
    <t>PO Box 79461</t>
  </si>
  <si>
    <t xml:space="preserve">21279-0001                                                                                     </t>
  </si>
  <si>
    <t>College of American Pathologists</t>
  </si>
  <si>
    <t>325 Waukegan Rd</t>
  </si>
  <si>
    <t>Northfield</t>
  </si>
  <si>
    <t xml:space="preserve">60093-2750                                                                                               </t>
  </si>
  <si>
    <t>Cardinal Ritter College Prep</t>
  </si>
  <si>
    <t>Mail Stop 28003</t>
  </si>
  <si>
    <t xml:space="preserve">63195-0001                                                                                     </t>
  </si>
  <si>
    <t>Right Choice Benefit Administrators</t>
  </si>
  <si>
    <t>17475 Jovanna Dr Ste 1D</t>
  </si>
  <si>
    <t xml:space="preserve">60430-1082                                                                                      </t>
  </si>
  <si>
    <t>Lung Cancer Connection Inc</t>
  </si>
  <si>
    <t>12015 Manchester Rd Ste 102</t>
  </si>
  <si>
    <t xml:space="preserve">63131-4417                                                                                        </t>
  </si>
  <si>
    <t>Stuttgarter Verlagskontor SVK GmbH</t>
  </si>
  <si>
    <t>Postfach 10 60 16</t>
  </si>
  <si>
    <t>Stuttgart</t>
  </si>
  <si>
    <t xml:space="preserve">D-70049                                                                                                 </t>
  </si>
  <si>
    <t>Biblioteca Apostlica Vaticana</t>
  </si>
  <si>
    <t>Cortile Belvedere</t>
  </si>
  <si>
    <t>Citta del Vaticano</t>
  </si>
  <si>
    <t>Affinia Healthcare</t>
  </si>
  <si>
    <t>Affina Healthcare</t>
  </si>
  <si>
    <t>Tin 43-0817642</t>
  </si>
  <si>
    <t>PO Box 551</t>
  </si>
  <si>
    <t xml:space="preserve">63188-0551                                                                                  </t>
  </si>
  <si>
    <t>Procura Generaliziz della Compagnia di Gesu</t>
  </si>
  <si>
    <t>Institutum Historicum Societatis Iesu</t>
  </si>
  <si>
    <t>Borgo Santo Spirito 5</t>
  </si>
  <si>
    <t xml:space="preserve">4-00193                                                    </t>
  </si>
  <si>
    <t>Wren &amp; Fida International Inc</t>
  </si>
  <si>
    <t>320 E 900 S</t>
  </si>
  <si>
    <t xml:space="preserve">84111-4316                                                                                                  </t>
  </si>
  <si>
    <t>Kino Border Initiative</t>
  </si>
  <si>
    <t>PO Box 159</t>
  </si>
  <si>
    <t>Nogales</t>
  </si>
  <si>
    <t xml:space="preserve">85628-0159                                                                                                                 </t>
  </si>
  <si>
    <t>Loops Hotel LLC</t>
  </si>
  <si>
    <t>Dba Moonrise Hotel</t>
  </si>
  <si>
    <t>6177 Delmar Blvd</t>
  </si>
  <si>
    <t xml:space="preserve">63112-1203                                                                                            </t>
  </si>
  <si>
    <t>New City Fellowship</t>
  </si>
  <si>
    <t>1142 Hodiamont Ave</t>
  </si>
  <si>
    <t xml:space="preserve">63112-2250                                                                                                        </t>
  </si>
  <si>
    <t>St Louis Area Police Chiefs Association</t>
  </si>
  <si>
    <t>1011 Municipal Center Dr</t>
  </si>
  <si>
    <t xml:space="preserve">63131-1133                                                                              </t>
  </si>
  <si>
    <t>State of New Jersey</t>
  </si>
  <si>
    <t>Department Of Labor And</t>
  </si>
  <si>
    <t>PO Box 929</t>
  </si>
  <si>
    <t>Trenton</t>
  </si>
  <si>
    <t xml:space="preserve">08646-0001                                                                                             </t>
  </si>
  <si>
    <t>Kansas Assoc of Collegiate Registrars and Admissions Officer</t>
  </si>
  <si>
    <t>Kc Metro Expo</t>
  </si>
  <si>
    <t>4100 S 4th St</t>
  </si>
  <si>
    <t>Leavenworth</t>
  </si>
  <si>
    <t xml:space="preserve">66048-5082                                                       </t>
  </si>
  <si>
    <t>CEI Internships</t>
  </si>
  <si>
    <t>368 Slick Rock Trl</t>
  </si>
  <si>
    <t>Cana</t>
  </si>
  <si>
    <t xml:space="preserve">24317-3676                                                                                                                   </t>
  </si>
  <si>
    <t>United States Arbitration and Mediation Midwest</t>
  </si>
  <si>
    <t>500 N Broadway Ste 1800</t>
  </si>
  <si>
    <t xml:space="preserve">63102-2159                                                                       </t>
  </si>
  <si>
    <t>College Agency LLC</t>
  </si>
  <si>
    <t>7907 Stafford Trl</t>
  </si>
  <si>
    <t>Savage</t>
  </si>
  <si>
    <t xml:space="preserve">55378-4308                                                                                                               </t>
  </si>
  <si>
    <t>Missouri State Medical Association Alliance</t>
  </si>
  <si>
    <t>10808 Wornall Rd</t>
  </si>
  <si>
    <t xml:space="preserve">64114-5064                                                                                  </t>
  </si>
  <si>
    <t>JM Graphic Arts Inc</t>
  </si>
  <si>
    <t>JM Graphic Arts Design Group</t>
  </si>
  <si>
    <t>6262 Hidden Springs Ln</t>
  </si>
  <si>
    <t>Worden</t>
  </si>
  <si>
    <t xml:space="preserve">62097-2757                                                                             </t>
  </si>
  <si>
    <t>Starkloff Disability Institute</t>
  </si>
  <si>
    <t>133 S 11th St Ste 500</t>
  </si>
  <si>
    <t xml:space="preserve">63102-1135                                                                                          </t>
  </si>
  <si>
    <t>Maytag Service Company of St Louis</t>
  </si>
  <si>
    <t>St Louis Appliance Repair Group</t>
  </si>
  <si>
    <t>1692 Larkin Williams Rd</t>
  </si>
  <si>
    <t xml:space="preserve">63026-2411                                                          </t>
  </si>
  <si>
    <t>Mary Case Inc</t>
  </si>
  <si>
    <t>12 Lake Forest Ct W</t>
  </si>
  <si>
    <t xml:space="preserve">63301-4540                                                                                                           </t>
  </si>
  <si>
    <t>BDO USA LLP</t>
  </si>
  <si>
    <t>PO Box 642743</t>
  </si>
  <si>
    <t xml:space="preserve">15264-2743                                                                                                                      </t>
  </si>
  <si>
    <t>DangerGone LLC</t>
  </si>
  <si>
    <t>7 Clarkson Farm Dr</t>
  </si>
  <si>
    <t xml:space="preserve">63017-7345                                                                                                            </t>
  </si>
  <si>
    <t>St Louis Public Schools Foundation</t>
  </si>
  <si>
    <t>801 N 11th St Fl 3</t>
  </si>
  <si>
    <t xml:space="preserve">63101-1015                                                                                         </t>
  </si>
  <si>
    <t>Foundations and Donors Interested in Catholic Activities</t>
  </si>
  <si>
    <t>4201 Connecticut Ave NW</t>
  </si>
  <si>
    <t>Ste 505</t>
  </si>
  <si>
    <t xml:space="preserve">20008-1163                                                        </t>
  </si>
  <si>
    <t>Beth Mahn Dept of the County Collector</t>
  </si>
  <si>
    <t>729 Maple St</t>
  </si>
  <si>
    <t>PO Box 100</t>
  </si>
  <si>
    <t xml:space="preserve">63050-0100                                                                                   </t>
  </si>
  <si>
    <t>New Age Media Ventures LLC</t>
  </si>
  <si>
    <t>All American Entertainment</t>
  </si>
  <si>
    <t>5790 Fayetteville Rd Ste 200</t>
  </si>
  <si>
    <t xml:space="preserve">27713-9089                                                                  </t>
  </si>
  <si>
    <t>Grupo Atlantico</t>
  </si>
  <si>
    <t>4238 Botanical Ave</t>
  </si>
  <si>
    <t xml:space="preserve">63110-3521                                                                                                            </t>
  </si>
  <si>
    <t>School Human Resources Career Services Association</t>
  </si>
  <si>
    <t>1005 Pearview Dr</t>
  </si>
  <si>
    <t xml:space="preserve">63376-2268                                                                          </t>
  </si>
  <si>
    <t>Radio Arts Foundation</t>
  </si>
  <si>
    <t>7711 Carondelet Ave Ste 302</t>
  </si>
  <si>
    <t xml:space="preserve">63105-3313                                                                                             </t>
  </si>
  <si>
    <t>KRC Enterprises LLC</t>
  </si>
  <si>
    <t>Guardian Medical Logistics</t>
  </si>
  <si>
    <t xml:space="preserve">63179-0379                                                                                   </t>
  </si>
  <si>
    <t>National Union Fire Insurance Co of Pittsburgh PA</t>
  </si>
  <si>
    <t>175 Water St</t>
  </si>
  <si>
    <t xml:space="preserve">10038-4918                                                                                   </t>
  </si>
  <si>
    <t>SSM Neurosciences Inc</t>
  </si>
  <si>
    <t>c/o Care Management</t>
  </si>
  <si>
    <t>1173 Corporate Lake Dr</t>
  </si>
  <si>
    <t xml:space="preserve">63132-1716                                                                               </t>
  </si>
  <si>
    <t>City and County of Denver</t>
  </si>
  <si>
    <t>Department of Finance</t>
  </si>
  <si>
    <t>PO Box 660859</t>
  </si>
  <si>
    <t xml:space="preserve">75266-0859                                                                                       </t>
  </si>
  <si>
    <t>University of York</t>
  </si>
  <si>
    <t>Heslington Hall</t>
  </si>
  <si>
    <t>University Way</t>
  </si>
  <si>
    <t>York</t>
  </si>
  <si>
    <t xml:space="preserve">YO10 5DD                                                                                                         </t>
  </si>
  <si>
    <t>Lyrasis</t>
  </si>
  <si>
    <t>Archives Space Home</t>
  </si>
  <si>
    <t>1438 W Peachtree St NW Ste 150</t>
  </si>
  <si>
    <t xml:space="preserve">30309-2955                                                                                         </t>
  </si>
  <si>
    <t>Camp Kesem National</t>
  </si>
  <si>
    <t>c/o Saint Louis University</t>
  </si>
  <si>
    <t>20 N Grand Blvd Ms 5067</t>
  </si>
  <si>
    <t xml:space="preserve">63103-2005                                                                         </t>
  </si>
  <si>
    <t>Commission on Accreditation for Pre-Hospital Continuing Ed</t>
  </si>
  <si>
    <t>12300 Ford Rd Ste 350</t>
  </si>
  <si>
    <t xml:space="preserve">75234-8151                                                                   </t>
  </si>
  <si>
    <t>University of Kansas Phi Alpha Delta Pre Law Fraternity</t>
  </si>
  <si>
    <t>Undergraduate Advising Center</t>
  </si>
  <si>
    <t>1300 Sunnyside Ave Rm 315</t>
  </si>
  <si>
    <t xml:space="preserve">66045-0001                                   </t>
  </si>
  <si>
    <t>Outfront Media</t>
  </si>
  <si>
    <t>185 US Highway 46</t>
  </si>
  <si>
    <t>Fairfield</t>
  </si>
  <si>
    <t xml:space="preserve">07004-2321                                                                                                                </t>
  </si>
  <si>
    <t>Creditbox</t>
  </si>
  <si>
    <t xml:space="preserve">60016-0003                                                                                                                          </t>
  </si>
  <si>
    <t>Performant Recovery Inc</t>
  </si>
  <si>
    <t>PO Box 205789</t>
  </si>
  <si>
    <t xml:space="preserve">75320-5789                                                                                                              </t>
  </si>
  <si>
    <t>Who's Who Diversity in Color LLC</t>
  </si>
  <si>
    <t>7274 S Winchester Dr</t>
  </si>
  <si>
    <t xml:space="preserve">63121-2621                                                                                         </t>
  </si>
  <si>
    <t>Metro East Lutheran High School</t>
  </si>
  <si>
    <t>6305 Center Grove Rd</t>
  </si>
  <si>
    <t xml:space="preserve">62025-3317                                                                                         </t>
  </si>
  <si>
    <t>Macalester College</t>
  </si>
  <si>
    <t>1600 Grand Ave</t>
  </si>
  <si>
    <t xml:space="preserve">55105-1899                                                                                                              </t>
  </si>
  <si>
    <t>Rising Above LLC</t>
  </si>
  <si>
    <t>302 Orth Clay Ave</t>
  </si>
  <si>
    <t>YourMembership.com Inc</t>
  </si>
  <si>
    <t>9620 Executive Center Dr N</t>
  </si>
  <si>
    <t>Ste 200</t>
  </si>
  <si>
    <t>Saint Petersburg</t>
  </si>
  <si>
    <t xml:space="preserve">33702-2441                                                                                 </t>
  </si>
  <si>
    <t>Human Capital Research Corporation</t>
  </si>
  <si>
    <t>1560 Sherman Ave Ste 1010</t>
  </si>
  <si>
    <t xml:space="preserve">60201-4803                                                                                     </t>
  </si>
  <si>
    <t>Bard College</t>
  </si>
  <si>
    <t>PO Box 5000</t>
  </si>
  <si>
    <t>Annandale on Hudson</t>
  </si>
  <si>
    <t xml:space="preserve">12504-5000                                                                                                              </t>
  </si>
  <si>
    <t>Association for Women in Mathematics</t>
  </si>
  <si>
    <t>PO Box 40876</t>
  </si>
  <si>
    <t>Providence</t>
  </si>
  <si>
    <t>RI</t>
  </si>
  <si>
    <t xml:space="preserve">02940-0876                                                                                              </t>
  </si>
  <si>
    <t>Manhattan Life Insurance</t>
  </si>
  <si>
    <t>PO Box 925688</t>
  </si>
  <si>
    <t xml:space="preserve">77292-5688                                                                                                            </t>
  </si>
  <si>
    <t>Franciscan Fathers</t>
  </si>
  <si>
    <t>Holy Cross Retreat Center</t>
  </si>
  <si>
    <t>600 Holy Cross Rd</t>
  </si>
  <si>
    <t>Mesilla Park</t>
  </si>
  <si>
    <t>NM</t>
  </si>
  <si>
    <t xml:space="preserve">88047-9713                                                                                </t>
  </si>
  <si>
    <t>St Marys Health Center Foundation</t>
  </si>
  <si>
    <t>Ssm Health St Mary'S Foundation</t>
  </si>
  <si>
    <t>Ssm Health St Mary'S</t>
  </si>
  <si>
    <t>12312 Olive Blvd Ste 100</t>
  </si>
  <si>
    <t xml:space="preserve">63141-6448                                 </t>
  </si>
  <si>
    <t>Mary T Hanson</t>
  </si>
  <si>
    <t>510 Knierim Pl</t>
  </si>
  <si>
    <t xml:space="preserve">63122-3825                                                                                                                  </t>
  </si>
  <si>
    <t>Smith Mueller LLC</t>
  </si>
  <si>
    <t>124 Gay Ave</t>
  </si>
  <si>
    <t xml:space="preserve">63105-3620                                                                                                                 </t>
  </si>
  <si>
    <t>John M Miller LLC</t>
  </si>
  <si>
    <t>6126 Johnson Rd</t>
  </si>
  <si>
    <t xml:space="preserve">46220-4311                                                                                                            </t>
  </si>
  <si>
    <t>Witt/Kieffer Inc</t>
  </si>
  <si>
    <t>2015 Spring Rd Ste 510</t>
  </si>
  <si>
    <t xml:space="preserve">60523-3903                                                                                                         </t>
  </si>
  <si>
    <t>Europa Organisation Africa (Pty) Ltd</t>
  </si>
  <si>
    <t>PO Box 782243</t>
  </si>
  <si>
    <t>Sandton</t>
  </si>
  <si>
    <t>Maynooth Campus Conference and Accomodation</t>
  </si>
  <si>
    <t>St Patricks College</t>
  </si>
  <si>
    <t>Maynooth</t>
  </si>
  <si>
    <t xml:space="preserve">                                                                                              </t>
  </si>
  <si>
    <t>John Hancock Life Insurance Company (USA)</t>
  </si>
  <si>
    <t>Life New Business</t>
  </si>
  <si>
    <t>C/O Thomas Cohn Associates</t>
  </si>
  <si>
    <t>30 Dan Rd Se 55765</t>
  </si>
  <si>
    <t xml:space="preserve">02021-2809                                            </t>
  </si>
  <si>
    <t>On-Line Benefits Inc</t>
  </si>
  <si>
    <t>The U-Turns</t>
  </si>
  <si>
    <t>2542 N Lake Dr</t>
  </si>
  <si>
    <t>Holts Summit</t>
  </si>
  <si>
    <t xml:space="preserve">65043-2539                                                                                               </t>
  </si>
  <si>
    <t>Endologix</t>
  </si>
  <si>
    <t>2 Musick</t>
  </si>
  <si>
    <t xml:space="preserve">92618-1631                                                                                                                                 </t>
  </si>
  <si>
    <t>Safe Connections</t>
  </si>
  <si>
    <t>2165 Hampton Ave</t>
  </si>
  <si>
    <t xml:space="preserve">63139-2904                                                                                                             </t>
  </si>
  <si>
    <t>Christian Activity Center</t>
  </si>
  <si>
    <t>540 N 6th St</t>
  </si>
  <si>
    <t xml:space="preserve">62201-1320                                                                                                   </t>
  </si>
  <si>
    <t>Thrivent Financial</t>
  </si>
  <si>
    <t>PO Box 14057</t>
  </si>
  <si>
    <t xml:space="preserve">33766-4057                                                                                                                </t>
  </si>
  <si>
    <t>WellComp Managed Care Services</t>
  </si>
  <si>
    <t>PO Box 183188</t>
  </si>
  <si>
    <t xml:space="preserve">43218-3188                                                                                                     </t>
  </si>
  <si>
    <t>Men Can Stop Rape</t>
  </si>
  <si>
    <t>1130 6th St NW Ste 100</t>
  </si>
  <si>
    <t xml:space="preserve">20001-3629                                                                                                       </t>
  </si>
  <si>
    <t>IlliniCare Health Plan</t>
  </si>
  <si>
    <t>999 Oakmont Plaza Dr</t>
  </si>
  <si>
    <t>Westmont</t>
  </si>
  <si>
    <t xml:space="preserve">60559-5563                                                                                                      </t>
  </si>
  <si>
    <t>Discovery Center of Springfield Inc</t>
  </si>
  <si>
    <t>438 E Saint Louis St</t>
  </si>
  <si>
    <t xml:space="preserve">65806-2312                                                                                      </t>
  </si>
  <si>
    <t>WPD Meteorologist LLC</t>
  </si>
  <si>
    <t>1260 Lay Rd</t>
  </si>
  <si>
    <t xml:space="preserve">63124-1872                                                                                                             </t>
  </si>
  <si>
    <t>Law Office of Kristin F Whittle LLC</t>
  </si>
  <si>
    <t>11901 Olive Blvd Ste 200</t>
  </si>
  <si>
    <t xml:space="preserve">63141-6759                                                                                  </t>
  </si>
  <si>
    <t>International Academic Center</t>
  </si>
  <si>
    <t>Decanska 8/1</t>
  </si>
  <si>
    <t>Belgrade</t>
  </si>
  <si>
    <t>St Louis Family Violence Council</t>
  </si>
  <si>
    <t>PO Box 775635</t>
  </si>
  <si>
    <t xml:space="preserve">63177-5635                                                                                                </t>
  </si>
  <si>
    <t>Scutmonkey Consulting LLC</t>
  </si>
  <si>
    <t>16 Pine Rdg</t>
  </si>
  <si>
    <t xml:space="preserve">06525-1815                                                                                                          </t>
  </si>
  <si>
    <t>Maximizing Organizational Resources Associates Inc</t>
  </si>
  <si>
    <t>462 Main St Ste 300</t>
  </si>
  <si>
    <t>Watertown</t>
  </si>
  <si>
    <t xml:space="preserve">02472-2246                                                                          </t>
  </si>
  <si>
    <t>Trans Guard Insurance</t>
  </si>
  <si>
    <t>PO Box 2148</t>
  </si>
  <si>
    <t>Warrenville</t>
  </si>
  <si>
    <t xml:space="preserve">60555-8148                                                                                                             </t>
  </si>
  <si>
    <t>Optum</t>
  </si>
  <si>
    <t>75 Remittance Dr Dept 6019</t>
  </si>
  <si>
    <t xml:space="preserve">60675-6019                                                                                                                  </t>
  </si>
  <si>
    <t>Mt Sion Community</t>
  </si>
  <si>
    <t>742 Monroe Ave</t>
  </si>
  <si>
    <t>Elizabeth</t>
  </si>
  <si>
    <t xml:space="preserve">07201-1641                                                                                                                </t>
  </si>
  <si>
    <t>Pana Community Unit District #8</t>
  </si>
  <si>
    <t>201 W 8th St</t>
  </si>
  <si>
    <t>Pana</t>
  </si>
  <si>
    <t xml:space="preserve">62557-1713                                                                                                         </t>
  </si>
  <si>
    <t>Kranzberg Arts Foundation</t>
  </si>
  <si>
    <t>3224 Locust St Ste 401</t>
  </si>
  <si>
    <t xml:space="preserve">63103-1222                                                                                              </t>
  </si>
  <si>
    <t>St Louis Midtown Redevelopment Corporation</t>
  </si>
  <si>
    <t>3545 Lindell Blvd</t>
  </si>
  <si>
    <t xml:space="preserve">63103-1020                                                                                  </t>
  </si>
  <si>
    <t>Lake Consulting Firm</t>
  </si>
  <si>
    <t>130 Laduemont Dr</t>
  </si>
  <si>
    <t xml:space="preserve">63141-8052                                                                                                         </t>
  </si>
  <si>
    <t>Berkshire Hathaway Home Services Trend Realty</t>
  </si>
  <si>
    <t>4141 NW 37th Pl</t>
  </si>
  <si>
    <t>Gainesville</t>
  </si>
  <si>
    <t xml:space="preserve">32606-6575                                                                                 </t>
  </si>
  <si>
    <t>NAPA River Insurance Company</t>
  </si>
  <si>
    <t>101 N Wacker Dr Ste 1950</t>
  </si>
  <si>
    <t xml:space="preserve">60606-1730                                                                                             </t>
  </si>
  <si>
    <t>Laurie Keefer LLC</t>
  </si>
  <si>
    <t>21 Rosemere Ave</t>
  </si>
  <si>
    <t>West Caldwell</t>
  </si>
  <si>
    <t xml:space="preserve">07006-6512                                                                                                           </t>
  </si>
  <si>
    <t>Philadelphia Rare Books &amp; Manuscripts Co</t>
  </si>
  <si>
    <t>The Arsenal #4</t>
  </si>
  <si>
    <t>The Arsenal Apt4</t>
  </si>
  <si>
    <t>5301 Tacony St Ste 314</t>
  </si>
  <si>
    <t xml:space="preserve">19137-2310                                                </t>
  </si>
  <si>
    <t>Ruiz Mexican Cuisine</t>
  </si>
  <si>
    <t>Dba The Tamale Man</t>
  </si>
  <si>
    <t>901 N Highway 67 St</t>
  </si>
  <si>
    <t xml:space="preserve">63031-2917                                                                                     </t>
  </si>
  <si>
    <t>Paule Camazine &amp; Blumenthal PC</t>
  </si>
  <si>
    <t>165 N Meramec Ave Ste 110</t>
  </si>
  <si>
    <t xml:space="preserve">63105-3789                                                                                      </t>
  </si>
  <si>
    <t>Center for Advancing Innovation</t>
  </si>
  <si>
    <t>9508 Burning Tree Rd</t>
  </si>
  <si>
    <t xml:space="preserve">20817-2229                                                                                             </t>
  </si>
  <si>
    <t>Barbara A Forys Administrator of the Estate</t>
  </si>
  <si>
    <t>of John M Mejaski</t>
  </si>
  <si>
    <t>13880 State Route 143</t>
  </si>
  <si>
    <t>Pocahontas</t>
  </si>
  <si>
    <t xml:space="preserve">62275-1502                                                             </t>
  </si>
  <si>
    <t>SLAM LLC</t>
  </si>
  <si>
    <t>Marriott St Louis Airport</t>
  </si>
  <si>
    <t>10700 Pear Tree Ln</t>
  </si>
  <si>
    <t xml:space="preserve">63134-4100                                                                                          </t>
  </si>
  <si>
    <t>Huntley Ridge So Co LLC</t>
  </si>
  <si>
    <t>9645 Clayton Rd Ste 200</t>
  </si>
  <si>
    <t xml:space="preserve">63124-1564                                                                                               </t>
  </si>
  <si>
    <t>SLH Vista Inc</t>
  </si>
  <si>
    <t>c/o Tenet Healthcare Corporation</t>
  </si>
  <si>
    <t>c/o Tenet Healthcare</t>
  </si>
  <si>
    <t>1445 Ross Ave Ste 1400</t>
  </si>
  <si>
    <t xml:space="preserve">75202-2703                                                           </t>
  </si>
  <si>
    <t>Dorothy Davis and McMichael Logan and</t>
  </si>
  <si>
    <t>Keersemaker Her Attorneys</t>
  </si>
  <si>
    <t>12166 Old Big Bend Rd Ste 99</t>
  </si>
  <si>
    <t xml:space="preserve">63122-6836                                                   </t>
  </si>
  <si>
    <t>Reshoring Institute</t>
  </si>
  <si>
    <t>PO Box 760</t>
  </si>
  <si>
    <t>Los Gatos</t>
  </si>
  <si>
    <t xml:space="preserve">95031-0760                                                                                                                  </t>
  </si>
  <si>
    <t>All About You Massage Therapy</t>
  </si>
  <si>
    <t>300 Fort Zumwalt Sq Ste 114</t>
  </si>
  <si>
    <t xml:space="preserve">63366-3078                                                                                        </t>
  </si>
  <si>
    <t>Lewis Brisbois Bisgaard &amp; Smith LLP</t>
  </si>
  <si>
    <t>633 W 5th St Ste 4000</t>
  </si>
  <si>
    <t xml:space="preserve">90071-2074                                                                                     </t>
  </si>
  <si>
    <t>Calypso</t>
  </si>
  <si>
    <t>PO Box 327</t>
  </si>
  <si>
    <t xml:space="preserve">98111-0327                                                                                                                                </t>
  </si>
  <si>
    <t>University of Athens</t>
  </si>
  <si>
    <t>Special Account for Research Grants</t>
  </si>
  <si>
    <t>6 Christou Lada</t>
  </si>
  <si>
    <t>Athens</t>
  </si>
  <si>
    <t xml:space="preserve">105 61                                                                                  </t>
  </si>
  <si>
    <t>Stockholm University</t>
  </si>
  <si>
    <t>Universitetsvagen 10</t>
  </si>
  <si>
    <t>Stockholm</t>
  </si>
  <si>
    <t xml:space="preserve">SE-10691                                                                                                           </t>
  </si>
  <si>
    <t>Heritage House Corporation</t>
  </si>
  <si>
    <t>2800 Olive St</t>
  </si>
  <si>
    <t xml:space="preserve">63103-1402                                                                                                      </t>
  </si>
  <si>
    <t>ERS Inc</t>
  </si>
  <si>
    <t>Electronic Restoration Services</t>
  </si>
  <si>
    <t>Electronic Restoration</t>
  </si>
  <si>
    <t>12001 Levan Rd</t>
  </si>
  <si>
    <t>Livonia</t>
  </si>
  <si>
    <t xml:space="preserve">48150-1403                                                                       </t>
  </si>
  <si>
    <t>Ruhr Universitat Bochum</t>
  </si>
  <si>
    <t>Universitatstr 150</t>
  </si>
  <si>
    <t>Bochum</t>
  </si>
  <si>
    <t>Midwest University Commercialization Network</t>
  </si>
  <si>
    <t>3712 N Broadway St Ste 462</t>
  </si>
  <si>
    <t xml:space="preserve">60613-4235                                                                           </t>
  </si>
  <si>
    <t>RK Entertainment Agency LLC</t>
  </si>
  <si>
    <t>PO Box 41</t>
  </si>
  <si>
    <t>Deansboro</t>
  </si>
  <si>
    <t xml:space="preserve">13328-0041                                                                                                           </t>
  </si>
  <si>
    <t>Northside Community Housing Inc</t>
  </si>
  <si>
    <t>4067 Lincoln Ave</t>
  </si>
  <si>
    <t xml:space="preserve">63113-3221                                                                                              </t>
  </si>
  <si>
    <t>Anakbayan Chicago</t>
  </si>
  <si>
    <t>2223 N Hoyne Ave Unit 2FF</t>
  </si>
  <si>
    <t xml:space="preserve">60647-3469                                                                                                       </t>
  </si>
  <si>
    <t>Campbell University Inc</t>
  </si>
  <si>
    <t>PO Box 97</t>
  </si>
  <si>
    <t>Buies Creek</t>
  </si>
  <si>
    <t xml:space="preserve">27506-0097                                                                                                             </t>
  </si>
  <si>
    <t>Mary Martens and her Attorney Devin A Sauer</t>
  </si>
  <si>
    <t>231 S Bemiston Ave Ste 800</t>
  </si>
  <si>
    <t xml:space="preserve">63105-1925                                                                        </t>
  </si>
  <si>
    <t>CCF Hotels Services Inc</t>
  </si>
  <si>
    <t>Intercontinental Hotels Conference Center</t>
  </si>
  <si>
    <t>Intercontinental Hotels</t>
  </si>
  <si>
    <t>9801 Carnegie Ave</t>
  </si>
  <si>
    <t xml:space="preserve">44106-2100                                       </t>
  </si>
  <si>
    <t>Central College</t>
  </si>
  <si>
    <t>Campus Box 0101</t>
  </si>
  <si>
    <t>812 University St</t>
  </si>
  <si>
    <t>Pella</t>
  </si>
  <si>
    <t xml:space="preserve">50219-1999                                                                                                    </t>
  </si>
  <si>
    <t>National Intercollegiate Running Club Associatoin Inc</t>
  </si>
  <si>
    <t>PO Box 613</t>
  </si>
  <si>
    <t xml:space="preserve">16804-0613                                                                            </t>
  </si>
  <si>
    <t>Mississippi State University</t>
  </si>
  <si>
    <t>Controller And Treasurer</t>
  </si>
  <si>
    <t>PO Box 5227</t>
  </si>
  <si>
    <t>Mississippi State</t>
  </si>
  <si>
    <t xml:space="preserve">39762-5227                                                                        </t>
  </si>
  <si>
    <t>American Academy of Social Work and Social Welfare</t>
  </si>
  <si>
    <t xml:space="preserve">22030-6078                                                                   </t>
  </si>
  <si>
    <t>Westfield Washington Schools</t>
  </si>
  <si>
    <t>Westfield High School</t>
  </si>
  <si>
    <t>18250 N Union St</t>
  </si>
  <si>
    <t>Westfield</t>
  </si>
  <si>
    <t xml:space="preserve">46074-9337                                                                              </t>
  </si>
  <si>
    <t>Global Recovery Alliance</t>
  </si>
  <si>
    <t>Haldenstrasse 3</t>
  </si>
  <si>
    <t>PO Box 1357</t>
  </si>
  <si>
    <t>Baar</t>
  </si>
  <si>
    <t xml:space="preserve">CH-6341                                                                                                       </t>
  </si>
  <si>
    <t>Boon-Chapman</t>
  </si>
  <si>
    <t>PO Box 9201</t>
  </si>
  <si>
    <t xml:space="preserve">78766-9201                                                                                                                           </t>
  </si>
  <si>
    <t>In-House Labs LLC</t>
  </si>
  <si>
    <t>16502 N Pennsylvania Ave Ste B</t>
  </si>
  <si>
    <t xml:space="preserve">73012-9126                                                                                                   </t>
  </si>
  <si>
    <t>Missouri Foundation for Veterans Medical Research</t>
  </si>
  <si>
    <t>PO Box 605</t>
  </si>
  <si>
    <t>800 Hospital Dr</t>
  </si>
  <si>
    <t xml:space="preserve">65201-5275                                                                      </t>
  </si>
  <si>
    <t>Institute for Spirituality and Health</t>
  </si>
  <si>
    <t>8100 Greenbriar Dr Ste 220</t>
  </si>
  <si>
    <t xml:space="preserve">77054-2932                                                                                  </t>
  </si>
  <si>
    <t>Catherine Thoele Florals</t>
  </si>
  <si>
    <t>16727 Deveronne Cir</t>
  </si>
  <si>
    <t xml:space="preserve">63005-1618                                                                                                 </t>
  </si>
  <si>
    <t>Courion</t>
  </si>
  <si>
    <t>3044 Lambdin Ave</t>
  </si>
  <si>
    <t xml:space="preserve">63115-2899                                                                                                                      </t>
  </si>
  <si>
    <t>National Center for Faculty Development &amp; Diversity LLC</t>
  </si>
  <si>
    <t>2885 Sanford Ave SW Ste 27580</t>
  </si>
  <si>
    <t>Grandville</t>
  </si>
  <si>
    <t xml:space="preserve">49418-1342                                                          </t>
  </si>
  <si>
    <t>Trustees of Our College of our Lady of the Elms</t>
  </si>
  <si>
    <t>291 Springfield St</t>
  </si>
  <si>
    <t>Chicopee</t>
  </si>
  <si>
    <t xml:space="preserve">01013-2837                                                                               </t>
  </si>
  <si>
    <t>Filament LLC</t>
  </si>
  <si>
    <t>1518 Washington Ave Ste 100</t>
  </si>
  <si>
    <t xml:space="preserve">63103-1864                                                                                                      </t>
  </si>
  <si>
    <t>Nigerian Institute of Medical Research Lagos</t>
  </si>
  <si>
    <t>6 Edmund Crescent</t>
  </si>
  <si>
    <t>Yaba Lagos</t>
  </si>
  <si>
    <t xml:space="preserve">                                                                                             </t>
  </si>
  <si>
    <t>Land Use Board of Appeals</t>
  </si>
  <si>
    <t>775 Summer St NE Ste 330</t>
  </si>
  <si>
    <t xml:space="preserve">97301-1283                                                                                                  </t>
  </si>
  <si>
    <t>Joint Review Committee on Education in Radiologic Technology</t>
  </si>
  <si>
    <t>In Radiologic Technology</t>
  </si>
  <si>
    <t>7908 Eagle Way</t>
  </si>
  <si>
    <t xml:space="preserve">60678-0001                                               </t>
  </si>
  <si>
    <t>Order of Saint Benedict</t>
  </si>
  <si>
    <t>Liturgical Press</t>
  </si>
  <si>
    <t>PO Box 7500</t>
  </si>
  <si>
    <t>Collegeville</t>
  </si>
  <si>
    <t xml:space="preserve">56321-7500                                                                                          </t>
  </si>
  <si>
    <t>Amer Assn of Directors of Psychiatric Residency Training</t>
  </si>
  <si>
    <t>PO Box 30618</t>
  </si>
  <si>
    <t xml:space="preserve">46230-0618                                                                        </t>
  </si>
  <si>
    <t>Mid America Assn Educational Opportunity Program Personnel</t>
  </si>
  <si>
    <t>Eduactional Opportunity Association</t>
  </si>
  <si>
    <t>Eduactional Opportunity</t>
  </si>
  <si>
    <t>PO Box 3443</t>
  </si>
  <si>
    <t xml:space="preserve">66046-0443                 </t>
  </si>
  <si>
    <t>Midwest Suburban Superintendents Association</t>
  </si>
  <si>
    <t>PO Box 8</t>
  </si>
  <si>
    <t>Round Lake Beach</t>
  </si>
  <si>
    <t xml:space="preserve">60073-0008                                                                                    </t>
  </si>
  <si>
    <t>Association of University Professors of Neurology</t>
  </si>
  <si>
    <t>5841 Cedar Lake Rd S Ste 204</t>
  </si>
  <si>
    <t xml:space="preserve">55416-5657                                                                </t>
  </si>
  <si>
    <t>Biomedical Engineering Society</t>
  </si>
  <si>
    <t>8201 Corporate Dr Ste 1125</t>
  </si>
  <si>
    <t>Hyattsville</t>
  </si>
  <si>
    <t xml:space="preserve">20785-7226                                                                                     </t>
  </si>
  <si>
    <t>Carolina Academic Press</t>
  </si>
  <si>
    <t>700 Kent St</t>
  </si>
  <si>
    <t xml:space="preserve">27701-3049                                                                                                                </t>
  </si>
  <si>
    <t>St Louis Community Foundation</t>
  </si>
  <si>
    <t>2 Oak Knoll Park</t>
  </si>
  <si>
    <t xml:space="preserve">63105-3008                                                                                                </t>
  </si>
  <si>
    <t>Xavier College Preparatory Roman Catholic High School</t>
  </si>
  <si>
    <t>4710 N 5th St</t>
  </si>
  <si>
    <t xml:space="preserve">85012-1738                                                                   </t>
  </si>
  <si>
    <t>St Louis Area Health Lawyers Association</t>
  </si>
  <si>
    <t>Lewis Rice Fingersh</t>
  </si>
  <si>
    <t xml:space="preserve">63101-1311                                                       </t>
  </si>
  <si>
    <t>City of Maryland Heights</t>
  </si>
  <si>
    <t>Parks &amp; Recreation</t>
  </si>
  <si>
    <t>2344 McKelvey Rd</t>
  </si>
  <si>
    <t>Maryland Hts</t>
  </si>
  <si>
    <t xml:space="preserve">63043-1532                                                                                  </t>
  </si>
  <si>
    <t>Dalhousie University</t>
  </si>
  <si>
    <t>Financial Services</t>
  </si>
  <si>
    <t>Rm 44 Henry Hicks Academic</t>
  </si>
  <si>
    <t>6299 South St</t>
  </si>
  <si>
    <t>Halifax</t>
  </si>
  <si>
    <t>NS</t>
  </si>
  <si>
    <t xml:space="preserve">B3H 4R2                                                                       </t>
  </si>
  <si>
    <t>National Assn of Deans &amp; Directors of Schools of Social Work</t>
  </si>
  <si>
    <t xml:space="preserve">22314-3429                                                              </t>
  </si>
  <si>
    <t>Cuyahoga Valley Career Center</t>
  </si>
  <si>
    <t>Attn Liz Puchowicz</t>
  </si>
  <si>
    <t>8001 Brecksville Rd</t>
  </si>
  <si>
    <t>Brecksville</t>
  </si>
  <si>
    <t xml:space="preserve">44141-1203                                                                           </t>
  </si>
  <si>
    <t>Chattanoogas Coast to Coast College Fair</t>
  </si>
  <si>
    <t>PO Box 4221</t>
  </si>
  <si>
    <t>Chattanooga</t>
  </si>
  <si>
    <t xml:space="preserve">37405-0221                                                                                          </t>
  </si>
  <si>
    <t>Editorial Projects In Education Inc</t>
  </si>
  <si>
    <t>Education Week</t>
  </si>
  <si>
    <t>PO Box 3005</t>
  </si>
  <si>
    <t>Langhorne</t>
  </si>
  <si>
    <t xml:space="preserve">19047-9105                                                                                   </t>
  </si>
  <si>
    <t>Nike USA Inc</t>
  </si>
  <si>
    <t>License &amp; Team Apparel</t>
  </si>
  <si>
    <t>PO Box 277482</t>
  </si>
  <si>
    <t xml:space="preserve">30384-0001                                                                                                  </t>
  </si>
  <si>
    <t>Missouri Botanical Garden</t>
  </si>
  <si>
    <t>Attn: Susan Winkler</t>
  </si>
  <si>
    <t>4344 Shaw Blvd</t>
  </si>
  <si>
    <t xml:space="preserve">63110-2291                                                                                   </t>
  </si>
  <si>
    <t>Missouri Historical Society Library</t>
  </si>
  <si>
    <t>Missouri History Museum</t>
  </si>
  <si>
    <t>PO Box 11940</t>
  </si>
  <si>
    <t xml:space="preserve">63112-0040                                                                       </t>
  </si>
  <si>
    <t>Murray State University</t>
  </si>
  <si>
    <t>102 Curris Ctr</t>
  </si>
  <si>
    <t>Murray</t>
  </si>
  <si>
    <t xml:space="preserve">42071-3369                                                                                                             </t>
  </si>
  <si>
    <t>Southwestern Illinois Health Facilities Inc</t>
  </si>
  <si>
    <t>Dba Anderson Hospital</t>
  </si>
  <si>
    <t>6800 State Route 162</t>
  </si>
  <si>
    <t xml:space="preserve">62062-8500                                                           </t>
  </si>
  <si>
    <t>Dow Jones &amp; Company Inc</t>
  </si>
  <si>
    <t>Wall Street Journal</t>
  </si>
  <si>
    <t>PO Box 4137</t>
  </si>
  <si>
    <t xml:space="preserve">10163-4137                                                                                           </t>
  </si>
  <si>
    <t>Ameren Corporation</t>
  </si>
  <si>
    <t>Brentwood Services Admin</t>
  </si>
  <si>
    <t>2000 Mallory Ln Ste 130-602</t>
  </si>
  <si>
    <t xml:space="preserve">37067-8209                                                                           </t>
  </si>
  <si>
    <t>Aquinas Institute of Theology</t>
  </si>
  <si>
    <t>Attn Fr Glade</t>
  </si>
  <si>
    <t>23 S Spring Ave</t>
  </si>
  <si>
    <t xml:space="preserve">63108-3323                                                                                    </t>
  </si>
  <si>
    <t>St Francis Borgia Regional High School</t>
  </si>
  <si>
    <t>c/o Brad Heger</t>
  </si>
  <si>
    <t>1000 Borgia Dr</t>
  </si>
  <si>
    <t xml:space="preserve">63090-4112                                                                            </t>
  </si>
  <si>
    <t>KPMG LLP</t>
  </si>
  <si>
    <t>Dept 0970</t>
  </si>
  <si>
    <t>PO Box 120970</t>
  </si>
  <si>
    <t xml:space="preserve">75312-0001                                                                                                                    </t>
  </si>
  <si>
    <t>National Collegiate Athletic Association</t>
  </si>
  <si>
    <t>PO Box 540014</t>
  </si>
  <si>
    <t xml:space="preserve">30353-5400                                                                         </t>
  </si>
  <si>
    <t>Sun Life Assurance Company Of Canada</t>
  </si>
  <si>
    <t>One Sun Life Executive Park</t>
  </si>
  <si>
    <t>Wellesley Hills</t>
  </si>
  <si>
    <t>National Catholic Educational Association</t>
  </si>
  <si>
    <t>1005 N Glebe Rd Ste 525</t>
  </si>
  <si>
    <t xml:space="preserve">22201-5792                                                                               </t>
  </si>
  <si>
    <t>Caleres Cares Charitable Trust</t>
  </si>
  <si>
    <t>PO Box 4655</t>
  </si>
  <si>
    <t xml:space="preserve">30302-4655                                                                                                        </t>
  </si>
  <si>
    <t>Bank of America</t>
  </si>
  <si>
    <t>Account Analysis</t>
  </si>
  <si>
    <t>PO Box 842425</t>
  </si>
  <si>
    <t xml:space="preserve">75284-0001                                                                                                      </t>
  </si>
  <si>
    <t>University of Iowa</t>
  </si>
  <si>
    <t>N411 Carver-Hawkeye Arena</t>
  </si>
  <si>
    <t>Iowa City</t>
  </si>
  <si>
    <t>Curators of the University of Missouri</t>
  </si>
  <si>
    <t>366 Milennium Student Center</t>
  </si>
  <si>
    <t>1 University Blvd</t>
  </si>
  <si>
    <t xml:space="preserve">63121-4400                                                          </t>
  </si>
  <si>
    <t>St Meinrad Archabbey</t>
  </si>
  <si>
    <t>200 Hill Dr</t>
  </si>
  <si>
    <t>Saint Meinrad</t>
  </si>
  <si>
    <t xml:space="preserve">47577-1301                                                                                                            </t>
  </si>
  <si>
    <t>EBSCO Industries Inc</t>
  </si>
  <si>
    <t>Payment Processing Center</t>
  </si>
  <si>
    <t>PO Box 204661</t>
  </si>
  <si>
    <t xml:space="preserve">75320-0001                                                                                        </t>
  </si>
  <si>
    <t>World Affairs Council St Louis</t>
  </si>
  <si>
    <t>812 Olive St Ste 110</t>
  </si>
  <si>
    <t xml:space="preserve">63101-1504                                                                                           </t>
  </si>
  <si>
    <t>Russo Catering Co</t>
  </si>
  <si>
    <t>Russo'S Gourmet Catering</t>
  </si>
  <si>
    <t>9904 Page Ave</t>
  </si>
  <si>
    <t xml:space="preserve">63132-1431                                                                                       </t>
  </si>
  <si>
    <t>St Louis County</t>
  </si>
  <si>
    <t>Gvt Act Slv-T</t>
  </si>
  <si>
    <t>41 S Central Admin Annex 5th</t>
  </si>
  <si>
    <t>US Educational Group Incorporated</t>
  </si>
  <si>
    <t>PO Box 382125</t>
  </si>
  <si>
    <t xml:space="preserve">02238-2125                                                                                                 </t>
  </si>
  <si>
    <t>Facts on File</t>
  </si>
  <si>
    <t>Infobase</t>
  </si>
  <si>
    <t>PO Box 809205</t>
  </si>
  <si>
    <t xml:space="preserve">60680-9201                                                                                                               </t>
  </si>
  <si>
    <t>Ingram Library Services Inc</t>
  </si>
  <si>
    <t>PO Box 502779</t>
  </si>
  <si>
    <t xml:space="preserve">63150-2779                                                                                                     </t>
  </si>
  <si>
    <t>Southeast Missouri State University</t>
  </si>
  <si>
    <t>Office of Career Services</t>
  </si>
  <si>
    <t>1 University Plz Ms 3333</t>
  </si>
  <si>
    <t xml:space="preserve">63701-4710                                                      </t>
  </si>
  <si>
    <t>Association of American Medical Colleges</t>
  </si>
  <si>
    <t>Membership/Publications</t>
  </si>
  <si>
    <t>PO Box 419384</t>
  </si>
  <si>
    <t xml:space="preserve">02241-0001                                                                      </t>
  </si>
  <si>
    <t>Midwest Library Service</t>
  </si>
  <si>
    <t>11443 Saint Charles Rock Rd</t>
  </si>
  <si>
    <t xml:space="preserve">63044-2789                                                                                             </t>
  </si>
  <si>
    <t>Municipal Theatre Association of St Louis</t>
  </si>
  <si>
    <t>1 Theatre Dr</t>
  </si>
  <si>
    <t xml:space="preserve">63112-1019                                                                                        </t>
  </si>
  <si>
    <t>Affton School District</t>
  </si>
  <si>
    <t>8701 MacKenzie Rd</t>
  </si>
  <si>
    <t xml:space="preserve">63123-3496                                                                                                      </t>
  </si>
  <si>
    <t>Catastrophe Cleaning and Restoration Company Inc</t>
  </si>
  <si>
    <t>dba CATCO</t>
  </si>
  <si>
    <t>2685 Metro Blvd</t>
  </si>
  <si>
    <t>Maryland Heights</t>
  </si>
  <si>
    <t xml:space="preserve">63043-2411                                                                </t>
  </si>
  <si>
    <t>BJC Health System</t>
  </si>
  <si>
    <t>Physician Groups Lc</t>
  </si>
  <si>
    <t>Bjc Property Management</t>
  </si>
  <si>
    <t>PO Box 956262</t>
  </si>
  <si>
    <t xml:space="preserve">63195-0001                                                                     </t>
  </si>
  <si>
    <t>Society of Jesus</t>
  </si>
  <si>
    <t>Jesuit Community Corporation</t>
  </si>
  <si>
    <t>3601 Lindell Blvd</t>
  </si>
  <si>
    <t xml:space="preserve">63108-3301                                                                                </t>
  </si>
  <si>
    <t>Mobius Consortium Office</t>
  </si>
  <si>
    <t>111 E Broadway Ste 220</t>
  </si>
  <si>
    <t xml:space="preserve">65203-4208                                                                                                  </t>
  </si>
  <si>
    <t>Golden Rule</t>
  </si>
  <si>
    <t>PO Box 31374</t>
  </si>
  <si>
    <t xml:space="preserve">84131-0374                                                                                                                   </t>
  </si>
  <si>
    <t>EducationPlus</t>
  </si>
  <si>
    <t>1460 Craig Rd</t>
  </si>
  <si>
    <t xml:space="preserve">63146-4842                                                                                                                   </t>
  </si>
  <si>
    <t>Lutheran High School Association of St Louis</t>
  </si>
  <si>
    <t>Lutheran High School North</t>
  </si>
  <si>
    <t>5401 Lucas And Hunt Rd</t>
  </si>
  <si>
    <t xml:space="preserve">63121-1599                                                 </t>
  </si>
  <si>
    <t>Indiana University</t>
  </si>
  <si>
    <t>Attn Mock Trial</t>
  </si>
  <si>
    <t>609 S Rose Ave</t>
  </si>
  <si>
    <t xml:space="preserve">47401-5240                                                                                              </t>
  </si>
  <si>
    <t>St Louis Assn of Tennis Officials</t>
  </si>
  <si>
    <t>c/o John Kelly</t>
  </si>
  <si>
    <t>1620 Watson St</t>
  </si>
  <si>
    <t xml:space="preserve">63301-1607                                                                              </t>
  </si>
  <si>
    <t>Charter Communications Holding Company LLC</t>
  </si>
  <si>
    <t>Charter Communications</t>
  </si>
  <si>
    <t>PO Box 6159</t>
  </si>
  <si>
    <t xml:space="preserve">63006-6159                                                                 </t>
  </si>
  <si>
    <t>Standard and Poors Financial Services LLC</t>
  </si>
  <si>
    <t>2542 Collection Center Dr</t>
  </si>
  <si>
    <t>Northwest Missouri State University</t>
  </si>
  <si>
    <t>800 University Dr</t>
  </si>
  <si>
    <t xml:space="preserve">64468-6001                                                                                           </t>
  </si>
  <si>
    <t>SSM Managed Care Organization LLC</t>
  </si>
  <si>
    <t>Attn Micki Luensmann</t>
  </si>
  <si>
    <t>1015 Cporate Lake Dr Ste 185</t>
  </si>
  <si>
    <t>Trustees of Princeton University</t>
  </si>
  <si>
    <t>Index of Medieval Art</t>
  </si>
  <si>
    <t>Dept Of Art Archeology</t>
  </si>
  <si>
    <t>A7 McCormick Hall</t>
  </si>
  <si>
    <t xml:space="preserve">08544-0001                                                   </t>
  </si>
  <si>
    <t>Spring Hill College</t>
  </si>
  <si>
    <t>Ofc Of</t>
  </si>
  <si>
    <t>4000 Dauphin St</t>
  </si>
  <si>
    <t xml:space="preserve">36608-1780                                                                                                          </t>
  </si>
  <si>
    <t>Childrens Hospital Medical Center</t>
  </si>
  <si>
    <t>3333 Burnet Ave</t>
  </si>
  <si>
    <t xml:space="preserve">45229-3039                                                                                              </t>
  </si>
  <si>
    <t>City of Springfield</t>
  </si>
  <si>
    <t>1650 E Battlefield St Ste 300</t>
  </si>
  <si>
    <t xml:space="preserve">65804-3733                                                                                             </t>
  </si>
  <si>
    <t>Louisiana State Board of Medical Examiners</t>
  </si>
  <si>
    <t>PO Box 30250</t>
  </si>
  <si>
    <t>New Orleans</t>
  </si>
  <si>
    <t xml:space="preserve">70190-0250                                                                                       </t>
  </si>
  <si>
    <t>St Louis Obstetrical and Gynecological Society</t>
  </si>
  <si>
    <t>Center For Outpatient Health</t>
  </si>
  <si>
    <t>4901 Forest Park Ave Fl 10</t>
  </si>
  <si>
    <t xml:space="preserve">63108-1402                                         </t>
  </si>
  <si>
    <t>Dentons US LLP</t>
  </si>
  <si>
    <t>8000 Sears Tower</t>
  </si>
  <si>
    <t>University of Kansas</t>
  </si>
  <si>
    <t>School Of Social Welfare</t>
  </si>
  <si>
    <t>1545 Lilac Ln Twente Hall</t>
  </si>
  <si>
    <t xml:space="preserve">66045-0001                                                                           </t>
  </si>
  <si>
    <t>Foundation for Educational Funding II Inc</t>
  </si>
  <si>
    <t>Educationquest Foundation</t>
  </si>
  <si>
    <t>1300 O St</t>
  </si>
  <si>
    <t xml:space="preserve">68508-1511                                                                      </t>
  </si>
  <si>
    <t>Society for the ARTS in Religious and Theological Studies</t>
  </si>
  <si>
    <t>3000 5th St NW</t>
  </si>
  <si>
    <t>New Brighton</t>
  </si>
  <si>
    <t xml:space="preserve">55112-2507                                                                     </t>
  </si>
  <si>
    <t>American College of Obstetricians &amp; Gynecologists</t>
  </si>
  <si>
    <t>PO Box 96920</t>
  </si>
  <si>
    <t xml:space="preserve">20090-6920                                                                                 </t>
  </si>
  <si>
    <t>Colorado State University</t>
  </si>
  <si>
    <t>Salute Veterans National Honor</t>
  </si>
  <si>
    <t>Campus Delivery 8048H</t>
  </si>
  <si>
    <t xml:space="preserve">80523-0001                                                                </t>
  </si>
  <si>
    <t>Towers Watson Pennsylvania Inc</t>
  </si>
  <si>
    <t>PO Box 741881</t>
  </si>
  <si>
    <t xml:space="preserve">30374-1881                                                                                                      </t>
  </si>
  <si>
    <t>Baylor College of Medicine</t>
  </si>
  <si>
    <t>PO Box 301207</t>
  </si>
  <si>
    <t xml:space="preserve">75303-1207                                                                                                           </t>
  </si>
  <si>
    <t>Notre Dame High School</t>
  </si>
  <si>
    <t>Notre Dame Regional High School</t>
  </si>
  <si>
    <t>265 Notre Dame Dr</t>
  </si>
  <si>
    <t xml:space="preserve">63701-8517                                                                    </t>
  </si>
  <si>
    <t>Texas Association for College Admission Counseling</t>
  </si>
  <si>
    <t>PO Box 11510</t>
  </si>
  <si>
    <t>Spring</t>
  </si>
  <si>
    <t xml:space="preserve">77391-1510                                                                                    </t>
  </si>
  <si>
    <t>Lutheran University Association Inc</t>
  </si>
  <si>
    <t>Valparaiso University</t>
  </si>
  <si>
    <t>1320 Chapel Dr S</t>
  </si>
  <si>
    <t>Valparaiso</t>
  </si>
  <si>
    <t xml:space="preserve">46383-4520                                                                      </t>
  </si>
  <si>
    <t>School District of Springfield R-12</t>
  </si>
  <si>
    <t>Springfield Public Schools</t>
  </si>
  <si>
    <t>1610 E Sunshine St</t>
  </si>
  <si>
    <t xml:space="preserve">65804-1313                                                              </t>
  </si>
  <si>
    <t>LHRET St Louis LLC</t>
  </si>
  <si>
    <t>2630 Collection Center Dr</t>
  </si>
  <si>
    <t xml:space="preserve">60693-0026                                                                                                      </t>
  </si>
  <si>
    <t>State of Illinois</t>
  </si>
  <si>
    <t>Department of Employment Security</t>
  </si>
  <si>
    <t>Department of Employment</t>
  </si>
  <si>
    <t>PO Box 3637</t>
  </si>
  <si>
    <t xml:space="preserve">62708-3637                                                        </t>
  </si>
  <si>
    <t>Great Plains Assn for College Adm Counseling</t>
  </si>
  <si>
    <t>PO Box 9274</t>
  </si>
  <si>
    <t>Shawnee Mission</t>
  </si>
  <si>
    <t xml:space="preserve">66201-1874                                                                                  </t>
  </si>
  <si>
    <t>Mount Sinai School of Medicine</t>
  </si>
  <si>
    <t>Icahn School of Medicine At Mount Sinai</t>
  </si>
  <si>
    <t>Icahn School of Medicine At</t>
  </si>
  <si>
    <t>1 Gustave L Levy Pl Fl 12</t>
  </si>
  <si>
    <t xml:space="preserve">10029-6574                       </t>
  </si>
  <si>
    <t>Dramatists Play Service Inc</t>
  </si>
  <si>
    <t>440 Park Ave S</t>
  </si>
  <si>
    <t xml:space="preserve">10016-8012                                                                                                       </t>
  </si>
  <si>
    <t>AARP Celebration of Life</t>
  </si>
  <si>
    <t>PO Box 740819</t>
  </si>
  <si>
    <t xml:space="preserve">30374-0819                                                                                                            </t>
  </si>
  <si>
    <t>Calvin College</t>
  </si>
  <si>
    <t>3201 Burton St SE</t>
  </si>
  <si>
    <t>Grand Rapids</t>
  </si>
  <si>
    <t xml:space="preserve">49546-4388                                                                                                             </t>
  </si>
  <si>
    <t>Heidelberg University</t>
  </si>
  <si>
    <t>Attn: Barb Gabel</t>
  </si>
  <si>
    <t>310 E Market St</t>
  </si>
  <si>
    <t>Tiffin</t>
  </si>
  <si>
    <t xml:space="preserve">44883-2434                                                                                              </t>
  </si>
  <si>
    <t>Habitat for Humanity International</t>
  </si>
  <si>
    <t>Collegiate Challenge</t>
  </si>
  <si>
    <t>121 Habitat St</t>
  </si>
  <si>
    <t>Americus</t>
  </si>
  <si>
    <t xml:space="preserve">31709-3498                                                                            </t>
  </si>
  <si>
    <t>Cabell Publishing Company</t>
  </si>
  <si>
    <t>PO Box 5428</t>
  </si>
  <si>
    <t>Beaumont</t>
  </si>
  <si>
    <t xml:space="preserve">77726-5428                                                                                                            </t>
  </si>
  <si>
    <t>Limbs &amp; Things Inc</t>
  </si>
  <si>
    <t>PO Box 15669</t>
  </si>
  <si>
    <t>Savannah</t>
  </si>
  <si>
    <t xml:space="preserve">31416-2369                                                                                                                  </t>
  </si>
  <si>
    <t>Heat and Frost Insulators St. Louis</t>
  </si>
  <si>
    <t>502 Earth City Plz Ste 203</t>
  </si>
  <si>
    <t xml:space="preserve">63045-1315                                                                                 </t>
  </si>
  <si>
    <t>Executive Personal Computers Inc</t>
  </si>
  <si>
    <t>3941 Harry S Truman Blvd</t>
  </si>
  <si>
    <t xml:space="preserve">63301-4416                                                                                   </t>
  </si>
  <si>
    <t>Pediatric Academic Societies</t>
  </si>
  <si>
    <t xml:space="preserve">77381-5018                                                                                            </t>
  </si>
  <si>
    <t>Le Moyne College</t>
  </si>
  <si>
    <t>1419 Salt Springs Rd</t>
  </si>
  <si>
    <t xml:space="preserve">13214-1301                                                                                                            </t>
  </si>
  <si>
    <t>CBS Radio Holdings Inc</t>
  </si>
  <si>
    <t>Kyky - Kezk</t>
  </si>
  <si>
    <t>3100 Market St</t>
  </si>
  <si>
    <t xml:space="preserve">63103-2528                                                                                              </t>
  </si>
  <si>
    <t>Polsinelli PC</t>
  </si>
  <si>
    <t>PO Box 878681</t>
  </si>
  <si>
    <t xml:space="preserve">64187-8681                                                                                                                   </t>
  </si>
  <si>
    <t>George Mason University</t>
  </si>
  <si>
    <t>Office of Events Management</t>
  </si>
  <si>
    <t>4400 University Dr Ms 3G3</t>
  </si>
  <si>
    <t xml:space="preserve">22030-4422                                                                      </t>
  </si>
  <si>
    <t>American Family Insurance</t>
  </si>
  <si>
    <t>PO Box 1553</t>
  </si>
  <si>
    <t xml:space="preserve">32591-1553                                                                                                           </t>
  </si>
  <si>
    <t>Thoracic Surgery Directors Association</t>
  </si>
  <si>
    <t>633 N Saint Clair St Ste 2300</t>
  </si>
  <si>
    <t xml:space="preserve">60611-6992                                                                              </t>
  </si>
  <si>
    <t>Keppler Associates Inc</t>
  </si>
  <si>
    <t>3030 Clarendon Blvd 7th Flr</t>
  </si>
  <si>
    <t xml:space="preserve">22201-6517                                                                                              </t>
  </si>
  <si>
    <t>National Catholic Bioethics Center</t>
  </si>
  <si>
    <t xml:space="preserve">35201-0361                                                                                                  </t>
  </si>
  <si>
    <t>Total Performance Inc</t>
  </si>
  <si>
    <t>777 Cypress Dr</t>
  </si>
  <si>
    <t>Mansfield</t>
  </si>
  <si>
    <t xml:space="preserve">44903-7701                                                                                                            </t>
  </si>
  <si>
    <t>Credit Control LLC</t>
  </si>
  <si>
    <t>5757 Phantom Dr Ste 330</t>
  </si>
  <si>
    <t>Hazelwood</t>
  </si>
  <si>
    <t xml:space="preserve">63042-2429                                                                                                      </t>
  </si>
  <si>
    <t>Xavier University</t>
  </si>
  <si>
    <t>3800 Victory Pkwy Unit 1</t>
  </si>
  <si>
    <t xml:space="preserve">45207-1092                                                                                                     </t>
  </si>
  <si>
    <t>Leo Brown Jesuit Community</t>
  </si>
  <si>
    <t>3550 Russell Blvd</t>
  </si>
  <si>
    <t xml:space="preserve">63104-1549                                                                                                  </t>
  </si>
  <si>
    <t>International Association of Jesuit Business Schools</t>
  </si>
  <si>
    <t>c/o Greg Ulferts Exec Director</t>
  </si>
  <si>
    <t>32831 Bingham Ln</t>
  </si>
  <si>
    <t>Bingham Farms</t>
  </si>
  <si>
    <t xml:space="preserve">48025-2417                                         </t>
  </si>
  <si>
    <t>BC Clayton Enterprises LLC</t>
  </si>
  <si>
    <t>c/o Benjamin Moore</t>
  </si>
  <si>
    <t>627 Clara Ave Apt 104</t>
  </si>
  <si>
    <t xml:space="preserve">63112-1943                                                                            </t>
  </si>
  <si>
    <t>St Louis Orthopedic Society</t>
  </si>
  <si>
    <t>c/o Janell Britton</t>
  </si>
  <si>
    <t>6245 Kinsey Pl</t>
  </si>
  <si>
    <t xml:space="preserve">63109-3412                                                                                  </t>
  </si>
  <si>
    <t>American Cancer Society</t>
  </si>
  <si>
    <t>1100 Pennsylvania Ave</t>
  </si>
  <si>
    <t xml:space="preserve">64105-1375                                                                                                 </t>
  </si>
  <si>
    <t>Western Michigan University</t>
  </si>
  <si>
    <t>Mail Stop 5432</t>
  </si>
  <si>
    <t>Kalamazoo</t>
  </si>
  <si>
    <t>Missouri Rural Crisis Center</t>
  </si>
  <si>
    <t>1108 Range Line St</t>
  </si>
  <si>
    <t xml:space="preserve">65201-4567                                                                                                  </t>
  </si>
  <si>
    <t>CBS Broadcasting Inc</t>
  </si>
  <si>
    <t>Cbs News Information Resrouces</t>
  </si>
  <si>
    <t>524 W 57th St Ste 510-2106</t>
  </si>
  <si>
    <t xml:space="preserve">10019-2930                                                                    </t>
  </si>
  <si>
    <t>Missouri Academy of Family Physicians</t>
  </si>
  <si>
    <t>722 W High St</t>
  </si>
  <si>
    <t xml:space="preserve">65101-1526                                                                                        </t>
  </si>
  <si>
    <t>Epic Systems Corporation</t>
  </si>
  <si>
    <t>PO Box 88314</t>
  </si>
  <si>
    <t xml:space="preserve">53288-8314                                                                                                           </t>
  </si>
  <si>
    <t>Academic Pediatric Association</t>
  </si>
  <si>
    <t xml:space="preserve">22101-3906                                                                                         </t>
  </si>
  <si>
    <t>Meridian Health</t>
  </si>
  <si>
    <t>1 Campus Martius Ste 700</t>
  </si>
  <si>
    <t xml:space="preserve">48226-5012                                                                                                          </t>
  </si>
  <si>
    <t>United States and Canadian Academy of Pathology</t>
  </si>
  <si>
    <t>404 Town Park Blvd Ste 201</t>
  </si>
  <si>
    <t>Evans</t>
  </si>
  <si>
    <t xml:space="preserve">30809-3491                                                                          </t>
  </si>
  <si>
    <t>Assn to Advance Collegiate Schools of Business</t>
  </si>
  <si>
    <t>PO Box 95000</t>
  </si>
  <si>
    <t xml:space="preserve">19195-0001                                                                                  </t>
  </si>
  <si>
    <t>Metropolitan School District of Lawrence Township</t>
  </si>
  <si>
    <t>Lawrence Central High School</t>
  </si>
  <si>
    <t>7300 E 56th St</t>
  </si>
  <si>
    <t xml:space="preserve">46226-1306                                                 </t>
  </si>
  <si>
    <t>University of North Carolina at Chapel Hill</t>
  </si>
  <si>
    <t>Dept of Neurosurgery</t>
  </si>
  <si>
    <t>Campus Box 7060</t>
  </si>
  <si>
    <t>170 Manning Dr</t>
  </si>
  <si>
    <t xml:space="preserve">27514-4221                                                 </t>
  </si>
  <si>
    <t>Gilmore and Bell PC</t>
  </si>
  <si>
    <t>2405 Grand Blvd Ste 1100</t>
  </si>
  <si>
    <t xml:space="preserve">64108-2521                                                                                                  </t>
  </si>
  <si>
    <t>Missouri State Treasurer</t>
  </si>
  <si>
    <t>Unclaimed Property Division</t>
  </si>
  <si>
    <t>301 W High St Rm 157</t>
  </si>
  <si>
    <t xml:space="preserve">65101-1517                                                                   </t>
  </si>
  <si>
    <t>St Patrick Center</t>
  </si>
  <si>
    <t>Mail Stop 450002</t>
  </si>
  <si>
    <t xml:space="preserve">63195-0001                                                                                               </t>
  </si>
  <si>
    <t>Conference Direct</t>
  </si>
  <si>
    <t>5600 Seventy Seven Center Dr</t>
  </si>
  <si>
    <t>Ste 240</t>
  </si>
  <si>
    <t>Vanderbilt University</t>
  </si>
  <si>
    <t>2305 W End Ave</t>
  </si>
  <si>
    <t xml:space="preserve">37203-1700                                                                                                            </t>
  </si>
  <si>
    <t>Association of Jesuit Colleges and Universities</t>
  </si>
  <si>
    <t>Ignatian Colleagues Program</t>
  </si>
  <si>
    <t>1 Dupont Cir NW Ste 405</t>
  </si>
  <si>
    <t xml:space="preserve">20036-1140                                             </t>
  </si>
  <si>
    <t>Association of University Professors of Opthamology</t>
  </si>
  <si>
    <t>PO Box 39000 Dept 34069</t>
  </si>
  <si>
    <t xml:space="preserve">94139-0001                                                                 </t>
  </si>
  <si>
    <t>Euromonitor International Inc</t>
  </si>
  <si>
    <t>224 S Michigan Ave Ste 1500</t>
  </si>
  <si>
    <t xml:space="preserve">60604-2514                                                                                         </t>
  </si>
  <si>
    <t>St. Louis Parking Company</t>
  </si>
  <si>
    <t>1617 S 3rd St</t>
  </si>
  <si>
    <t xml:space="preserve">63104-3839                                                                                                       </t>
  </si>
  <si>
    <t>Joe Christensen Inc</t>
  </si>
  <si>
    <t>PO Box 81269</t>
  </si>
  <si>
    <t xml:space="preserve">68501-1269                                                                                                                  </t>
  </si>
  <si>
    <t>Association of Academic Health Science Libraries</t>
  </si>
  <si>
    <t>2150 N 107th St Ste 205</t>
  </si>
  <si>
    <t xml:space="preserve">98133-9009                                                                          </t>
  </si>
  <si>
    <t>Oakstone Publishing LLC</t>
  </si>
  <si>
    <t>2700 Corporate Dr Ste 100</t>
  </si>
  <si>
    <t xml:space="preserve">35242-2733                                                                                              </t>
  </si>
  <si>
    <t>Pure Logistics Sales &amp; Service LLC</t>
  </si>
  <si>
    <t>Mr Frank Fischer</t>
  </si>
  <si>
    <t>337 Gateford Dr</t>
  </si>
  <si>
    <t xml:space="preserve">63021-8369                                                                                </t>
  </si>
  <si>
    <t>Vandeventer Research &amp; Education Foundation</t>
  </si>
  <si>
    <t>Veterans Research &amp; Education Foundation</t>
  </si>
  <si>
    <t>Veterans Research &amp; Education</t>
  </si>
  <si>
    <t>501 N Grand Blvd Ste 300</t>
  </si>
  <si>
    <t xml:space="preserve">63103-1006     </t>
  </si>
  <si>
    <t>Firstsource Group USA Inc</t>
  </si>
  <si>
    <t>One Advantage LLC</t>
  </si>
  <si>
    <t>PO Box 1044</t>
  </si>
  <si>
    <t xml:space="preserve">14240-1044                                                                                            </t>
  </si>
  <si>
    <t>Loma Linda Pathology Group Inc</t>
  </si>
  <si>
    <t>Dba California Tumor Tissue Registry</t>
  </si>
  <si>
    <t>11021 Campus Ave Apt 335</t>
  </si>
  <si>
    <t>Loma Linda</t>
  </si>
  <si>
    <t xml:space="preserve">92350-0001                                                    </t>
  </si>
  <si>
    <t>G and B Press Pontificio Istituto Biblico</t>
  </si>
  <si>
    <t>Piazza della Pilotta 35</t>
  </si>
  <si>
    <t>J P Morgan Securities Inc</t>
  </si>
  <si>
    <t>JPMS LLC Cash Management</t>
  </si>
  <si>
    <t>23928 Network Pl</t>
  </si>
  <si>
    <t xml:space="preserve">60673-0001                                                                                </t>
  </si>
  <si>
    <t>Association of Midwest Academic Anesthesia Chairs</t>
  </si>
  <si>
    <t>3223 Lake Ave Apt 130</t>
  </si>
  <si>
    <t>Wilmette</t>
  </si>
  <si>
    <t xml:space="preserve">60091-1069                                                                          </t>
  </si>
  <si>
    <t>PerkinElmer Genetics Inc</t>
  </si>
  <si>
    <t>PO Box 405819</t>
  </si>
  <si>
    <t xml:space="preserve">30384-5800                                                                                                            </t>
  </si>
  <si>
    <t>Delta Management Associates Inc.</t>
  </si>
  <si>
    <t>PO Box 9242</t>
  </si>
  <si>
    <t>Chelsea</t>
  </si>
  <si>
    <t xml:space="preserve">02150-9242                                                                                                      </t>
  </si>
  <si>
    <t>Australian Catholic University Limited</t>
  </si>
  <si>
    <t>40 Edward St</t>
  </si>
  <si>
    <t>North Sydney New South Wales</t>
  </si>
  <si>
    <t>Missouri State Thespians</t>
  </si>
  <si>
    <t>419 Sorrento Dr</t>
  </si>
  <si>
    <t xml:space="preserve">63021-6424                                                                                                          </t>
  </si>
  <si>
    <t>Accruent LLC</t>
  </si>
  <si>
    <t>10801 N Mopac Expy Bldg 2-400</t>
  </si>
  <si>
    <t xml:space="preserve">78759-5458                                                                                                         </t>
  </si>
  <si>
    <t>Midwest Missouri ISOA</t>
  </si>
  <si>
    <t>1805 Valley Ridge Dr</t>
  </si>
  <si>
    <t>Imperial</t>
  </si>
  <si>
    <t xml:space="preserve">63052-2273                                                                                                       </t>
  </si>
  <si>
    <t>Psychological Associates Inc</t>
  </si>
  <si>
    <t xml:space="preserve">63179-0379                                                                                                    </t>
  </si>
  <si>
    <t>Metro Theater Company</t>
  </si>
  <si>
    <t>3111 Washington Ave</t>
  </si>
  <si>
    <t xml:space="preserve">63103-1216                                                                                                     </t>
  </si>
  <si>
    <t>Massage on the Go Inc</t>
  </si>
  <si>
    <t>9 Kocsis St</t>
  </si>
  <si>
    <t>Holbrook</t>
  </si>
  <si>
    <t xml:space="preserve">11741-2003                                                                                                                </t>
  </si>
  <si>
    <t>NAACP  St Louis City</t>
  </si>
  <si>
    <t>7605 Natural Bridge Rd</t>
  </si>
  <si>
    <t xml:space="preserve">63121-4922                                                                                                   </t>
  </si>
  <si>
    <t>Joanne C Kluba</t>
  </si>
  <si>
    <t>Paper Birds</t>
  </si>
  <si>
    <t>4175 Loughborough Ave</t>
  </si>
  <si>
    <t xml:space="preserve">63116-2807                                                                                               </t>
  </si>
  <si>
    <t>Air Concepts USA</t>
  </si>
  <si>
    <t>645 SE Central Pkwy</t>
  </si>
  <si>
    <t>Stuart</t>
  </si>
  <si>
    <t xml:space="preserve">34994-3984                                                                                                               </t>
  </si>
  <si>
    <t>Medical Review Institute of America</t>
  </si>
  <si>
    <t>2875 Decker Lake Dr Ste 550</t>
  </si>
  <si>
    <t xml:space="preserve">84119-2353                                                                            </t>
  </si>
  <si>
    <t>Health Data Insights Inc</t>
  </si>
  <si>
    <t>Mail Stop #4-RH</t>
  </si>
  <si>
    <t>7501 Trinity Peak St</t>
  </si>
  <si>
    <t xml:space="preserve">89128-9035                                                                                    </t>
  </si>
  <si>
    <t>Boeing Company</t>
  </si>
  <si>
    <t>Learning Together Program</t>
  </si>
  <si>
    <t>PO Box 99639</t>
  </si>
  <si>
    <t>Troy</t>
  </si>
  <si>
    <t xml:space="preserve">48099-9639                                                                                                 </t>
  </si>
  <si>
    <t>Lamont Hanley and Associates</t>
  </si>
  <si>
    <t>1138 Elm St Ste 2</t>
  </si>
  <si>
    <t>Manchester</t>
  </si>
  <si>
    <t xml:space="preserve">03101-1531                                                                                                 </t>
  </si>
  <si>
    <t>Phi Beta Kappa Society</t>
  </si>
  <si>
    <t>American Scholar</t>
  </si>
  <si>
    <t>1606 New Hampshire Ave NW</t>
  </si>
  <si>
    <t xml:space="preserve">20009-2512                                                                               </t>
  </si>
  <si>
    <t>Unified Life Insurance Co</t>
  </si>
  <si>
    <t>PO Box 25326</t>
  </si>
  <si>
    <t xml:space="preserve">66225-5326                                                                                                      </t>
  </si>
  <si>
    <t>Childrens Miracle Network of Greater St Louis</t>
  </si>
  <si>
    <t>5700 Oakland Ave Ste 220</t>
  </si>
  <si>
    <t xml:space="preserve">63110-1355                                                                        </t>
  </si>
  <si>
    <t>Philadelphia American Life Insurance Company</t>
  </si>
  <si>
    <t>PO Box 4884</t>
  </si>
  <si>
    <t xml:space="preserve">77210-4884                                                                                          </t>
  </si>
  <si>
    <t>Blue Flower Arts LLC</t>
  </si>
  <si>
    <t>PO Box 1361</t>
  </si>
  <si>
    <t>Millbrook</t>
  </si>
  <si>
    <t xml:space="preserve">12545-1361                                                                                                                </t>
  </si>
  <si>
    <t>Risk Management Association</t>
  </si>
  <si>
    <t>Lbx 1140-</t>
  </si>
  <si>
    <t>PO Box 8500</t>
  </si>
  <si>
    <t xml:space="preserve">19178-0001                                                                                             </t>
  </si>
  <si>
    <t>St Johns College</t>
  </si>
  <si>
    <t xml:space="preserve">OX1 3JP                                                                                                                                       </t>
  </si>
  <si>
    <t>Professional Benefit Administrators</t>
  </si>
  <si>
    <t>PO Box 4687</t>
  </si>
  <si>
    <t xml:space="preserve">60522-4687                                                                                                 </t>
  </si>
  <si>
    <t>American Continental Insurance Company</t>
  </si>
  <si>
    <t>c/o Asset Protection Unit</t>
  </si>
  <si>
    <t xml:space="preserve">79120-0969                                                                     </t>
  </si>
  <si>
    <t>Capital Region Medical Center</t>
  </si>
  <si>
    <t>1125 Madison St</t>
  </si>
  <si>
    <t>PO Box 1128</t>
  </si>
  <si>
    <t xml:space="preserve">65102-1128                                                                                   </t>
  </si>
  <si>
    <t>Passaic County Directors of Guidance</t>
  </si>
  <si>
    <t>Passaic Valley High School</t>
  </si>
  <si>
    <t>100 E Main St</t>
  </si>
  <si>
    <t>Little Falls</t>
  </si>
  <si>
    <t xml:space="preserve">07424-5628                                                                 </t>
  </si>
  <si>
    <t>Alliance for Academic Internal Medicine</t>
  </si>
  <si>
    <t>PO Box 71233</t>
  </si>
  <si>
    <t xml:space="preserve">19176-6233                                                                                         </t>
  </si>
  <si>
    <t>Hogan Lovells US LLP</t>
  </si>
  <si>
    <t>Columbia Square</t>
  </si>
  <si>
    <t>555 13th St NW</t>
  </si>
  <si>
    <t xml:space="preserve">20004-1109                                                                                             </t>
  </si>
  <si>
    <t>KIC Univassist LLC</t>
  </si>
  <si>
    <t>55 Union Pl Apt 146</t>
  </si>
  <si>
    <t>Summit</t>
  </si>
  <si>
    <t xml:space="preserve">07901-2563                                                                                                             </t>
  </si>
  <si>
    <t>Norfleet Forensics LLC</t>
  </si>
  <si>
    <t>1110 E Parkedge Ln</t>
  </si>
  <si>
    <t xml:space="preserve">63130-2231                                                                                                     </t>
  </si>
  <si>
    <t>Louisiana Department of Revenue</t>
  </si>
  <si>
    <t>PO Box 201</t>
  </si>
  <si>
    <t>Baton Rouge</t>
  </si>
  <si>
    <t xml:space="preserve">70821-0201                                                                                                    </t>
  </si>
  <si>
    <t>Iberia R-V District Board of Education</t>
  </si>
  <si>
    <t>201 Pemberton Dr</t>
  </si>
  <si>
    <t>Iberia</t>
  </si>
  <si>
    <t xml:space="preserve">65486-9329                                                                                            </t>
  </si>
  <si>
    <t>Loyola University Maryland</t>
  </si>
  <si>
    <t>4501 N Charles St</t>
  </si>
  <si>
    <t xml:space="preserve">21210-2601                                                                                                    </t>
  </si>
  <si>
    <t>Professional Tour Guide Association of Metropolitan St Louis</t>
  </si>
  <si>
    <t>Dan Fuller</t>
  </si>
  <si>
    <t>4234 Cleveland Ave</t>
  </si>
  <si>
    <t xml:space="preserve">63110-3505                                                     </t>
  </si>
  <si>
    <t>Koninklijke Brill NV</t>
  </si>
  <si>
    <t>143 West St</t>
  </si>
  <si>
    <t xml:space="preserve">06776-3599                                                                                                              </t>
  </si>
  <si>
    <t>Ultragenyx Pharmaceutical Inc</t>
  </si>
  <si>
    <t>60 Leveroni Ct</t>
  </si>
  <si>
    <t>Novato</t>
  </si>
  <si>
    <t xml:space="preserve">94949-5746                                                                                                       </t>
  </si>
  <si>
    <t>AGB Search LLC</t>
  </si>
  <si>
    <t>1133 20th St NW Ste 300</t>
  </si>
  <si>
    <t xml:space="preserve">20036-3475                                                                                                         </t>
  </si>
  <si>
    <t>Phi Alpha Honor Society</t>
  </si>
  <si>
    <t>East Tennessee State University</t>
  </si>
  <si>
    <t>East Tennessee State</t>
  </si>
  <si>
    <t>PO Box 70679</t>
  </si>
  <si>
    <t>Johnson City</t>
  </si>
  <si>
    <t xml:space="preserve">37614-1709                                                      </t>
  </si>
  <si>
    <t>LOEX</t>
  </si>
  <si>
    <t>4007 Carpenter Rd Ste 357</t>
  </si>
  <si>
    <t>Ypsilanti</t>
  </si>
  <si>
    <t xml:space="preserve">48197-9644                                                                                                                  </t>
  </si>
  <si>
    <t>Great Lake Higher Education Guaranty Corporation</t>
  </si>
  <si>
    <t>PO Box 83230</t>
  </si>
  <si>
    <t xml:space="preserve">60691-0230                                                                                     </t>
  </si>
  <si>
    <t>Ubiqus Reporting Inc</t>
  </si>
  <si>
    <t>61 Broadway Rm 1400</t>
  </si>
  <si>
    <t xml:space="preserve">10006-2716                                                                                                         </t>
  </si>
  <si>
    <t>Anders Minkler Huber and Helm LLP</t>
  </si>
  <si>
    <t>Anders Cpas And Advisors</t>
  </si>
  <si>
    <t>800 Market St Ste 500</t>
  </si>
  <si>
    <t xml:space="preserve">63101-2298                                                               </t>
  </si>
  <si>
    <t>GL Group</t>
  </si>
  <si>
    <t>1230 Macklind Ave</t>
  </si>
  <si>
    <t xml:space="preserve">63110-1432                                                                                                                    </t>
  </si>
  <si>
    <t>Conquest Systems Inc</t>
  </si>
  <si>
    <t>4915 Saint Elmo Ave Ste 201</t>
  </si>
  <si>
    <t xml:space="preserve">20814-6089                                                                                                 </t>
  </si>
  <si>
    <t>Safety Training Center LLC</t>
  </si>
  <si>
    <t>2539 Vandalia St</t>
  </si>
  <si>
    <t xml:space="preserve">62234-5034                                                                                                  </t>
  </si>
  <si>
    <t>Impact 360</t>
  </si>
  <si>
    <t>3631 Mount Vernon Rd Ste 101</t>
  </si>
  <si>
    <t xml:space="preserve">30506-3022                                                                                                       </t>
  </si>
  <si>
    <t>Kentucky Medical Services Foundation Inc</t>
  </si>
  <si>
    <t>Special Services Department</t>
  </si>
  <si>
    <t>PO Box 587</t>
  </si>
  <si>
    <t xml:space="preserve">40588-0587                                                                  </t>
  </si>
  <si>
    <t>Upbrand Collaborative LLC</t>
  </si>
  <si>
    <t>1220 Olive St Ste 220</t>
  </si>
  <si>
    <t xml:space="preserve">63103-2301                                                                                               </t>
  </si>
  <si>
    <t>Family Medicine Midwest Foundation Inc</t>
  </si>
  <si>
    <t>747 E Boughton Rd Apt 253</t>
  </si>
  <si>
    <t>Bolingbrook</t>
  </si>
  <si>
    <t xml:space="preserve">60440-2281                                                                              </t>
  </si>
  <si>
    <t>CIC Innovation Communities LLC</t>
  </si>
  <si>
    <t>1 Broadway Fl 14</t>
  </si>
  <si>
    <t xml:space="preserve">02142-1187                                                                                                 </t>
  </si>
  <si>
    <t>Biotechnology and Life Sciences Advising Group</t>
  </si>
  <si>
    <t>4579 Laclede Ave Apt 336</t>
  </si>
  <si>
    <t xml:space="preserve">63108-2103                                                                       </t>
  </si>
  <si>
    <t>Iowa Association for College Admission Counseling</t>
  </si>
  <si>
    <t>1110 S 12th Ave W</t>
  </si>
  <si>
    <t xml:space="preserve">50208-5211                                                                                </t>
  </si>
  <si>
    <t>Date Safe Project Inc</t>
  </si>
  <si>
    <t>PO Box 269</t>
  </si>
  <si>
    <t>Mukwonago</t>
  </si>
  <si>
    <t xml:space="preserve">53149-0269                                                                                                                </t>
  </si>
  <si>
    <t>Qualtrics LLC</t>
  </si>
  <si>
    <t>2250 N University Pkwy</t>
  </si>
  <si>
    <t>Ste 48-C</t>
  </si>
  <si>
    <t>Provo</t>
  </si>
  <si>
    <t xml:space="preserve">84604-1500                                                                                                        </t>
  </si>
  <si>
    <t>James Thomas Productions LLC</t>
  </si>
  <si>
    <t>911 Washington Ave Fl 5</t>
  </si>
  <si>
    <t xml:space="preserve">63101-1243                                                                                          </t>
  </si>
  <si>
    <t>SVM LP</t>
  </si>
  <si>
    <t>3727 N Ventura Dr</t>
  </si>
  <si>
    <t>Arlington Heights</t>
  </si>
  <si>
    <t xml:space="preserve">60004-7952                                                                                                                </t>
  </si>
  <si>
    <t>Pitzmans Surveying Group</t>
  </si>
  <si>
    <t>PO Box 430159</t>
  </si>
  <si>
    <t xml:space="preserve">63143-0259                                                                                                        </t>
  </si>
  <si>
    <t>Khatib A F Waheed LLC</t>
  </si>
  <si>
    <t>4579 Laclede Ave Apt 486</t>
  </si>
  <si>
    <t xml:space="preserve">63108-2103                                                                                                </t>
  </si>
  <si>
    <t>Beyond 4 Y</t>
  </si>
  <si>
    <t>PO Box 2252</t>
  </si>
  <si>
    <t xml:space="preserve">63032-2252                                                                                                                         </t>
  </si>
  <si>
    <t>Memorial Foundation Inc</t>
  </si>
  <si>
    <t>4500 Memorial Dr</t>
  </si>
  <si>
    <t xml:space="preserve">62226-5360                                                                                                       </t>
  </si>
  <si>
    <t>Revitalization 2000 Inc</t>
  </si>
  <si>
    <t>1641 Forest View Dr</t>
  </si>
  <si>
    <t xml:space="preserve">63122-1721                                                                                                   </t>
  </si>
  <si>
    <t>Strategic Cost Control Inc</t>
  </si>
  <si>
    <t>Corporate Cost Control</t>
  </si>
  <si>
    <t>PO Box 1180</t>
  </si>
  <si>
    <t>Londonderry</t>
  </si>
  <si>
    <t xml:space="preserve">03053-1180                                                                                  </t>
  </si>
  <si>
    <t>Sher and Shabsin PC</t>
  </si>
  <si>
    <t>1 Campbell Plz Ste 1A</t>
  </si>
  <si>
    <t xml:space="preserve">63139-1781                                                                                                     </t>
  </si>
  <si>
    <t>PrivCo Media LLC</t>
  </si>
  <si>
    <t>19 W 21st St Rm 1105</t>
  </si>
  <si>
    <t xml:space="preserve">10010-6837                                                                                                            </t>
  </si>
  <si>
    <t>CVS Pharmacy Inc.</t>
  </si>
  <si>
    <t>83649 Collection Center Dr</t>
  </si>
  <si>
    <t xml:space="preserve">60693-0001                                                                                                      </t>
  </si>
  <si>
    <t>L B Baggett Safety and Environmental Services LLC</t>
  </si>
  <si>
    <t>8 Boschert Creek Dr</t>
  </si>
  <si>
    <t xml:space="preserve">63376-5954                                                                        </t>
  </si>
  <si>
    <t>CSU Chico Research Foundation</t>
  </si>
  <si>
    <t>25 Main St Ste 203</t>
  </si>
  <si>
    <t>Chico</t>
  </si>
  <si>
    <t xml:space="preserve">95929-0001                                                                                 </t>
  </si>
  <si>
    <t>Bold Thinking LLC</t>
  </si>
  <si>
    <t>3200 Chase Dr</t>
  </si>
  <si>
    <t xml:space="preserve">55305-3745                                                                                                                   </t>
  </si>
  <si>
    <t>New England Basketball Services</t>
  </si>
  <si>
    <t>6 Joelle Dr</t>
  </si>
  <si>
    <t xml:space="preserve">06480-1424                                                                                                      </t>
  </si>
  <si>
    <t>Degy Booking International Inc</t>
  </si>
  <si>
    <t>9826 Montpellier Dr</t>
  </si>
  <si>
    <t>Delray Beach</t>
  </si>
  <si>
    <t xml:space="preserve">33446-2314                                                                                           </t>
  </si>
  <si>
    <t>St. Francois Circuit Clerk</t>
  </si>
  <si>
    <t>1 N Washington St Ste 102</t>
  </si>
  <si>
    <t xml:space="preserve">63640-3191                                                                                           </t>
  </si>
  <si>
    <t>BPG Entertainment LLC</t>
  </si>
  <si>
    <t>Big Papa G Entertainment</t>
  </si>
  <si>
    <t>1253 Jamaica Dr</t>
  </si>
  <si>
    <t xml:space="preserve">62025-5122                                                                                </t>
  </si>
  <si>
    <t>ABM Federal Sales Inc</t>
  </si>
  <si>
    <t>285 Chesterfield Business Pkwy</t>
  </si>
  <si>
    <t xml:space="preserve">63005-1241                                                                                         </t>
  </si>
  <si>
    <t>Carlisle Syntec</t>
  </si>
  <si>
    <t>c/o Lifetime Benefit Solutions</t>
  </si>
  <si>
    <t>PO Box 780</t>
  </si>
  <si>
    <t>Liverpool</t>
  </si>
  <si>
    <t xml:space="preserve">13088-0780                                                                                        </t>
  </si>
  <si>
    <t>DWC Group</t>
  </si>
  <si>
    <t>921 Carter St</t>
  </si>
  <si>
    <t>Eden</t>
  </si>
  <si>
    <t xml:space="preserve">27288-6308                                                                                                                              </t>
  </si>
  <si>
    <t>ALIM American Learning Institute for Muslims</t>
  </si>
  <si>
    <t>PO Box 871785</t>
  </si>
  <si>
    <t xml:space="preserve">48187-7485                                                                                         </t>
  </si>
  <si>
    <t>Jefferson City Convention &amp; Visitors Bureau</t>
  </si>
  <si>
    <t>700 E Capitol Ave</t>
  </si>
  <si>
    <t xml:space="preserve">65101-4079                                                                              </t>
  </si>
  <si>
    <t>Tive Inc</t>
  </si>
  <si>
    <t>38 Cameron Ave Ste 200</t>
  </si>
  <si>
    <t xml:space="preserve">02140-1150                                                                                                                 </t>
  </si>
  <si>
    <t>Brick Row Book Shop</t>
  </si>
  <si>
    <t>49 Geary St Ste 230</t>
  </si>
  <si>
    <t xml:space="preserve">94108-5748                                                                                                     </t>
  </si>
  <si>
    <t>AbbVie US LLC</t>
  </si>
  <si>
    <t>R&amp;D Clinical Payments</t>
  </si>
  <si>
    <t>1 N Waukegan Rd Dept ZR23</t>
  </si>
  <si>
    <t>North Chicago</t>
  </si>
  <si>
    <t xml:space="preserve">60064-1802                                                                                </t>
  </si>
  <si>
    <t>American Physician Scientists Association</t>
  </si>
  <si>
    <t>4 Lan Dr Ste 310</t>
  </si>
  <si>
    <t>Westford</t>
  </si>
  <si>
    <t xml:space="preserve">01886-3576                                                                                       </t>
  </si>
  <si>
    <t>Joseph Frank Bevacqua CPA</t>
  </si>
  <si>
    <t>PO Box 3750</t>
  </si>
  <si>
    <t>Dana Point</t>
  </si>
  <si>
    <t xml:space="preserve">92629-8750                                                                                                          </t>
  </si>
  <si>
    <t>National Assoc of Diversity Officers in Higher Education</t>
  </si>
  <si>
    <t>631 US Highway 1 Ste 400</t>
  </si>
  <si>
    <t>North Palm Beach</t>
  </si>
  <si>
    <t xml:space="preserve">33408-4618                                                        </t>
  </si>
  <si>
    <t>Masterpiece International</t>
  </si>
  <si>
    <t>39 Broadway Rm 1410</t>
  </si>
  <si>
    <t xml:space="preserve">10006-3085                                                                                                    </t>
  </si>
  <si>
    <t>Tekakwitha Conference</t>
  </si>
  <si>
    <t>2225 N Bolton Ave</t>
  </si>
  <si>
    <t xml:space="preserve">71303-4408                                                                                                        </t>
  </si>
  <si>
    <t>NCW Booking Inc</t>
  </si>
  <si>
    <t>1034 W 34th Pl Ste 1</t>
  </si>
  <si>
    <t xml:space="preserve">60608-6519                                                                                                              </t>
  </si>
  <si>
    <t>East Carter County Schools R-2</t>
  </si>
  <si>
    <t>24 S Herren Ave</t>
  </si>
  <si>
    <t>Ellsinore</t>
  </si>
  <si>
    <t xml:space="preserve">63937-8208                                                                                                  </t>
  </si>
  <si>
    <t>Boardwalk Regency Corporation</t>
  </si>
  <si>
    <t>Caesars Atlantic City Hotel Casino</t>
  </si>
  <si>
    <t>Caesars Atlantic City Hotel</t>
  </si>
  <si>
    <t>2100 Pacific Ave</t>
  </si>
  <si>
    <t>Atlantic City</t>
  </si>
  <si>
    <t xml:space="preserve">08401-6612                                 </t>
  </si>
  <si>
    <t>Village of Round Lake Heights</t>
  </si>
  <si>
    <t>Dollars For Scholars</t>
  </si>
  <si>
    <t>619 Pontiac Ct Ste A</t>
  </si>
  <si>
    <t>Round Lake Heights</t>
  </si>
  <si>
    <t xml:space="preserve">60073-1396                                                                 </t>
  </si>
  <si>
    <t>Kilo Flynn Billingsley Trame &amp; Brown</t>
  </si>
  <si>
    <t>John Pleimann &amp; His Attorney</t>
  </si>
  <si>
    <t>5840 Oakland Ave</t>
  </si>
  <si>
    <t xml:space="preserve">63110-1320                                                             </t>
  </si>
  <si>
    <t>Sport Tours International</t>
  </si>
  <si>
    <t>6944 N Port Washington Rd</t>
  </si>
  <si>
    <t xml:space="preserve">53217-3923                                                                                      </t>
  </si>
  <si>
    <t>Lents &amp; Associates</t>
  </si>
  <si>
    <t>1750 S Brentwood Blvd Ste 552</t>
  </si>
  <si>
    <t xml:space="preserve">63144-1302                                                                                              </t>
  </si>
  <si>
    <t>Kanopy Inc</t>
  </si>
  <si>
    <t>781 Beach St Fl 2</t>
  </si>
  <si>
    <t xml:space="preserve">94109-1245                                                                                                                </t>
  </si>
  <si>
    <t>Blue Cross Blue Shield of Massachusetts</t>
  </si>
  <si>
    <t>Mail Stop 03/04</t>
  </si>
  <si>
    <t>25 Technology Pl</t>
  </si>
  <si>
    <t>Hingham</t>
  </si>
  <si>
    <t xml:space="preserve">02043-4360                                                                           </t>
  </si>
  <si>
    <t>Management Specialists Services LLC</t>
  </si>
  <si>
    <t>5208 SW 91st Dr Ste D</t>
  </si>
  <si>
    <t xml:space="preserve">32608-9117                                                                                     </t>
  </si>
  <si>
    <t>Platte County Circuit Court</t>
  </si>
  <si>
    <t>415 3rd St Ste 5</t>
  </si>
  <si>
    <t>Platte City</t>
  </si>
  <si>
    <t xml:space="preserve">64079-8462                                                                                                  </t>
  </si>
  <si>
    <t>Lary D Johnson and his Attorney Devn Jones</t>
  </si>
  <si>
    <t>15 N Division St</t>
  </si>
  <si>
    <t>Du Quoin</t>
  </si>
  <si>
    <t xml:space="preserve">62832-1405                                                                                      </t>
  </si>
  <si>
    <t>Wanggang</t>
  </si>
  <si>
    <t>2500 Spyglass Ct</t>
  </si>
  <si>
    <t xml:space="preserve">62025-3644                                                                                                                    </t>
  </si>
  <si>
    <t>Richland R-IV School</t>
  </si>
  <si>
    <t>714 E Jefferson Ave</t>
  </si>
  <si>
    <t>Richland</t>
  </si>
  <si>
    <t xml:space="preserve">65556-8202                                                                                                         </t>
  </si>
  <si>
    <t>Provident Inc</t>
  </si>
  <si>
    <t>2650 Olive St</t>
  </si>
  <si>
    <t xml:space="preserve">63103-1489                                                                                                                   </t>
  </si>
  <si>
    <t>Improv Shop</t>
  </si>
  <si>
    <t>4753 Westminster Pl</t>
  </si>
  <si>
    <t xml:space="preserve">63108-1805                                                                                                               </t>
  </si>
  <si>
    <t>Center for Automotive Research</t>
  </si>
  <si>
    <t>3005 Boardwalk St Ste 200</t>
  </si>
  <si>
    <t xml:space="preserve">48108-5218                                                                                        </t>
  </si>
  <si>
    <t>IPX Development 79 LLC</t>
  </si>
  <si>
    <t>Dba Avion Ridge Apartments</t>
  </si>
  <si>
    <t>1778 Richardson Rd</t>
  </si>
  <si>
    <t xml:space="preserve">63010-6016                                                                                </t>
  </si>
  <si>
    <t>Bentonville School District #6</t>
  </si>
  <si>
    <t>1801 SE J St</t>
  </si>
  <si>
    <t>Bentonville</t>
  </si>
  <si>
    <t xml:space="preserve">72712-4295                                                                                                   </t>
  </si>
  <si>
    <t>North Carolina Department of Revenue</t>
  </si>
  <si>
    <t>Wage Garnishment Processing</t>
  </si>
  <si>
    <t>PO Box 25000</t>
  </si>
  <si>
    <t>Raleigh</t>
  </si>
  <si>
    <t xml:space="preserve">27640-0001                                                                      </t>
  </si>
  <si>
    <t>DDay Ventures</t>
  </si>
  <si>
    <t>5505 SW 114th Pl</t>
  </si>
  <si>
    <t>Micanopy</t>
  </si>
  <si>
    <t xml:space="preserve">32667-3124                                                                                                                   </t>
  </si>
  <si>
    <t>A&amp;A Inspirations LLC</t>
  </si>
  <si>
    <t>8790 Manchester Rd Ste 205A</t>
  </si>
  <si>
    <t xml:space="preserve">63144-2707                                                                                              </t>
  </si>
  <si>
    <t>Sheraton Clayton Plaza Hotel</t>
  </si>
  <si>
    <t>7730 Bonhomme Ave</t>
  </si>
  <si>
    <t xml:space="preserve">63105-1909                                                                                                </t>
  </si>
  <si>
    <t>Transamerica Premier Life</t>
  </si>
  <si>
    <t>6110 Parkland Blvd</t>
  </si>
  <si>
    <t xml:space="preserve">44124-4187                                                                                                    </t>
  </si>
  <si>
    <t>ITEN</t>
  </si>
  <si>
    <t>911 Washington Ave Ste 722</t>
  </si>
  <si>
    <t xml:space="preserve">63101-1272                                                                                                               </t>
  </si>
  <si>
    <t>Paradigm</t>
  </si>
  <si>
    <t>1277 Treat Blvd Ste 800</t>
  </si>
  <si>
    <t>Walnut Creek</t>
  </si>
  <si>
    <t xml:space="preserve">94597-8864                                                                                                             </t>
  </si>
  <si>
    <t>Startup Within LLC</t>
  </si>
  <si>
    <t xml:space="preserve">63017-2512                                                                                                        </t>
  </si>
  <si>
    <t>Jesuit Community at Boston College</t>
  </si>
  <si>
    <t>140 Commonwealth Ave</t>
  </si>
  <si>
    <t xml:space="preserve">02467-3858                                                                                     </t>
  </si>
  <si>
    <t>BITCO Insurance Company</t>
  </si>
  <si>
    <t>10733 Sunset Office Dr Ste 430</t>
  </si>
  <si>
    <t xml:space="preserve">63127-1033                                                                                        </t>
  </si>
  <si>
    <t>FPP EDU Media LLC</t>
  </si>
  <si>
    <t>9550 S Eastern Ave Ste 253</t>
  </si>
  <si>
    <t xml:space="preserve">89123-8042                                                                                                    </t>
  </si>
  <si>
    <t>A&amp;J Magner Medical Consultants LLC</t>
  </si>
  <si>
    <t>14 Woodfield Dr</t>
  </si>
  <si>
    <t xml:space="preserve">62226-4739                                                                                             </t>
  </si>
  <si>
    <t>Renters Warehouse Missouri</t>
  </si>
  <si>
    <t>4950 W 78th St</t>
  </si>
  <si>
    <t>Minnetonka</t>
  </si>
  <si>
    <t>Xpogo LLC</t>
  </si>
  <si>
    <t>1256 Franklin Ave</t>
  </si>
  <si>
    <t xml:space="preserve">15221-3067                                                                                                                    </t>
  </si>
  <si>
    <t>American Bankers Insurance Company of Florida</t>
  </si>
  <si>
    <t>PO Box 8695</t>
  </si>
  <si>
    <t>Kalispell</t>
  </si>
  <si>
    <t>MT</t>
  </si>
  <si>
    <t xml:space="preserve">59904-1695                                                                                       </t>
  </si>
  <si>
    <t>Alagen LLC</t>
  </si>
  <si>
    <t>6024 N 20th St</t>
  </si>
  <si>
    <t xml:space="preserve">85016-1910                                                                                                                         </t>
  </si>
  <si>
    <t>Symetra Life Insurance Company</t>
  </si>
  <si>
    <t>777 108th Ave NE Ste 1200</t>
  </si>
  <si>
    <t>Bellevue</t>
  </si>
  <si>
    <t xml:space="preserve">98004-5135                                                                                         </t>
  </si>
  <si>
    <t>Teresa Bales and Hardy C Menees Attorney at Law</t>
  </si>
  <si>
    <t>121 W Adams Ave</t>
  </si>
  <si>
    <t xml:space="preserve">63122-4022                                                                               </t>
  </si>
  <si>
    <t>Campus Door Holdings Inc</t>
  </si>
  <si>
    <t>1415 Ritner Hwy</t>
  </si>
  <si>
    <t>Carlisle</t>
  </si>
  <si>
    <t xml:space="preserve">17013-9300                                                                                                         </t>
  </si>
  <si>
    <t>Midwest Conference on British Studies</t>
  </si>
  <si>
    <t>c/o Martin Greig</t>
  </si>
  <si>
    <t>350 Victoria St</t>
  </si>
  <si>
    <t xml:space="preserve">M5B 2K3                                                                                  </t>
  </si>
  <si>
    <t>PTS Auto Carriers LLC</t>
  </si>
  <si>
    <t>5913 B Ste 8 US Hwy 61/67</t>
  </si>
  <si>
    <t>Springdale School District</t>
  </si>
  <si>
    <t>Har-Ber High School</t>
  </si>
  <si>
    <t>300 Jones Rd</t>
  </si>
  <si>
    <t>Springdale</t>
  </si>
  <si>
    <t xml:space="preserve">72762-0701                                                                                     </t>
  </si>
  <si>
    <t>National Inventors Hall of Fame</t>
  </si>
  <si>
    <t>3701 Highland Park NW</t>
  </si>
  <si>
    <t>North Canton</t>
  </si>
  <si>
    <t xml:space="preserve">44720-4535                                                                                        </t>
  </si>
  <si>
    <t>Concord Dayton Hotel II LLC</t>
  </si>
  <si>
    <t>Marriott Dayton</t>
  </si>
  <si>
    <t>1414 S Patterson Blvd</t>
  </si>
  <si>
    <t xml:space="preserve">45409-2105                                                                                   </t>
  </si>
  <si>
    <t>Gamma Sigma Epsilon Chemistry Honor Society</t>
  </si>
  <si>
    <t>c/o George Fisher</t>
  </si>
  <si>
    <t>Barry University Physical</t>
  </si>
  <si>
    <t>11300 NE 2nd Ave</t>
  </si>
  <si>
    <t>Orindi Ventures LLC</t>
  </si>
  <si>
    <t>4950 Christy Ln</t>
  </si>
  <si>
    <t>Holland</t>
  </si>
  <si>
    <t xml:space="preserve">49424-1083                                                                                                               </t>
  </si>
  <si>
    <t>Life Care Centers</t>
  </si>
  <si>
    <t>PO Box 3323</t>
  </si>
  <si>
    <t xml:space="preserve">37320-3323                                                                                                                   </t>
  </si>
  <si>
    <t>Interface Education Services LLC</t>
  </si>
  <si>
    <t>167 Lamp And Lantern Vlg</t>
  </si>
  <si>
    <t>Ste 168</t>
  </si>
  <si>
    <t xml:space="preserve">63017-8208                                                                             </t>
  </si>
  <si>
    <t>Statista Inc</t>
  </si>
  <si>
    <t>55 Broad St Rm 30A</t>
  </si>
  <si>
    <t xml:space="preserve">10004-2590                                                                                                                  </t>
  </si>
  <si>
    <t>International Student Network Inc</t>
  </si>
  <si>
    <t>309 Fellowship Rd Ste 200</t>
  </si>
  <si>
    <t xml:space="preserve">08054-1234                                                                                  </t>
  </si>
  <si>
    <t>Sharon Holt and her Attorneys Growe Eisen Karlen Eilerts</t>
  </si>
  <si>
    <t>7733 Forsyth Blvd Ste 325</t>
  </si>
  <si>
    <t xml:space="preserve">63105-1817                                                            </t>
  </si>
  <si>
    <t>PinPoint Media Services</t>
  </si>
  <si>
    <t>No 30 Community Rd off Allen Ave</t>
  </si>
  <si>
    <t>Ikeja Lagos</t>
  </si>
  <si>
    <t xml:space="preserve">                                                                                                  </t>
  </si>
  <si>
    <t>Illinois Trial Team</t>
  </si>
  <si>
    <t>Attn Jim Simmons</t>
  </si>
  <si>
    <t>600 N Neil St Unit 1194</t>
  </si>
  <si>
    <t>Champaign</t>
  </si>
  <si>
    <t xml:space="preserve">61820-3607                                                                                     </t>
  </si>
  <si>
    <t>I Am Not Them LLC</t>
  </si>
  <si>
    <t>22 Courts Dr</t>
  </si>
  <si>
    <t xml:space="preserve">72223-9021                                                                                                                </t>
  </si>
  <si>
    <t>Empower Missouri</t>
  </si>
  <si>
    <t>308 E High St Ste 100</t>
  </si>
  <si>
    <t xml:space="preserve">65101-3237                                                                                                     </t>
  </si>
  <si>
    <t>Department of Health and Human Services</t>
  </si>
  <si>
    <t>Division of Financial Operations</t>
  </si>
  <si>
    <t>Division of Financial</t>
  </si>
  <si>
    <t>Collection Officer</t>
  </si>
  <si>
    <t xml:space="preserve">20857-0001                                 </t>
  </si>
  <si>
    <t>Association of Program Directors in Radiology</t>
  </si>
  <si>
    <t xml:space="preserve">60523-2284                                                                                    </t>
  </si>
  <si>
    <t>Liberty Mutual Insurance</t>
  </si>
  <si>
    <t>PO Box 7070</t>
  </si>
  <si>
    <t xml:space="preserve">40742-7070                                                                                                               </t>
  </si>
  <si>
    <t>St Charles Community College</t>
  </si>
  <si>
    <t>ADM 1204</t>
  </si>
  <si>
    <t>4601 Mid Rivers Mall Dr</t>
  </si>
  <si>
    <t xml:space="preserve">63376-2865                                                                                 </t>
  </si>
  <si>
    <t>American Society of Cytopathology</t>
  </si>
  <si>
    <t>100 W 10th St Ste 605</t>
  </si>
  <si>
    <t xml:space="preserve">19801-6604                                                                                        </t>
  </si>
  <si>
    <t>Resolution Inc</t>
  </si>
  <si>
    <t>California Newsreel</t>
  </si>
  <si>
    <t>PO Box 3400</t>
  </si>
  <si>
    <t xml:space="preserve">17604-3400                                                                                                   </t>
  </si>
  <si>
    <t>Missouri Chamber of Commerce and Industry</t>
  </si>
  <si>
    <t>PO Box 149</t>
  </si>
  <si>
    <t>428 E Capitol Ave</t>
  </si>
  <si>
    <t xml:space="preserve">65101-3164                                                                      </t>
  </si>
  <si>
    <t>YWCA</t>
  </si>
  <si>
    <t>Development Office</t>
  </si>
  <si>
    <t>3820 W Pine Mall</t>
  </si>
  <si>
    <t xml:space="preserve">63108-3336                                                                                                       </t>
  </si>
  <si>
    <t>Fred Hutchinson Cancer Research Center</t>
  </si>
  <si>
    <t>1100 Fairview Ave N Ms J2-110</t>
  </si>
  <si>
    <t xml:space="preserve">98109-4433                                                                              </t>
  </si>
  <si>
    <t>Avila University</t>
  </si>
  <si>
    <t>11901 Wornall Rd</t>
  </si>
  <si>
    <t xml:space="preserve">64145-1007                                                                                                             </t>
  </si>
  <si>
    <t>Gateway Society Hazardous Materials Managers</t>
  </si>
  <si>
    <t>4359 Lindell Blvd</t>
  </si>
  <si>
    <t xml:space="preserve">63108-2701                                                                                </t>
  </si>
  <si>
    <t>St Louis County Department of Health</t>
  </si>
  <si>
    <t>6121 N Hanley Rd</t>
  </si>
  <si>
    <t xml:space="preserve">63134-2003                                                                                         </t>
  </si>
  <si>
    <t>Your Hearing Network LLC</t>
  </si>
  <si>
    <t>Consult Yhn</t>
  </si>
  <si>
    <t>PO Box 392616</t>
  </si>
  <si>
    <t xml:space="preserve">15251-0001                                                                                              </t>
  </si>
  <si>
    <t>Medical College of Wisconsin</t>
  </si>
  <si>
    <t>Division of Vascular Surgery</t>
  </si>
  <si>
    <t>9200 W Wisconsin Ave</t>
  </si>
  <si>
    <t xml:space="preserve">53226-3522                                                                   </t>
  </si>
  <si>
    <t>State of New Hampshire</t>
  </si>
  <si>
    <t>33 Capitol St</t>
  </si>
  <si>
    <t>Concord</t>
  </si>
  <si>
    <t xml:space="preserve">03301-6310                                                                                                              </t>
  </si>
  <si>
    <t>American Institute of Aeronautics and Astronautics</t>
  </si>
  <si>
    <t>C/O Ae/Me Dept Rm 1017</t>
  </si>
  <si>
    <t>3450 Lindell Blvd</t>
  </si>
  <si>
    <t xml:space="preserve">63103-1110                              </t>
  </si>
  <si>
    <t>Academic International Press</t>
  </si>
  <si>
    <t>Gulf Breeze</t>
  </si>
  <si>
    <t xml:space="preserve">32562-1111                                                                                                      </t>
  </si>
  <si>
    <t>Barnes Jewish Hospital</t>
  </si>
  <si>
    <t>Bjc Healthcare Ar-Billing</t>
  </si>
  <si>
    <t>PO Box 958716</t>
  </si>
  <si>
    <t xml:space="preserve">63195-0001                                                                                 </t>
  </si>
  <si>
    <t>Board of Trustees of the Leland Stanford Junior University</t>
  </si>
  <si>
    <t>Faculty Development Center</t>
  </si>
  <si>
    <t>1070 Arastradero Rd Fl 2</t>
  </si>
  <si>
    <t>Palo Alto</t>
  </si>
  <si>
    <t xml:space="preserve">94304-1336                                   </t>
  </si>
  <si>
    <t>Northwestern Mutual Life Insurance Co.</t>
  </si>
  <si>
    <t>720 E Wisconsin Ave</t>
  </si>
  <si>
    <t xml:space="preserve">53202-4703                                                                                      </t>
  </si>
  <si>
    <t>Herbert Eastman Clinical Fund</t>
  </si>
  <si>
    <t>Law Clinic</t>
  </si>
  <si>
    <t xml:space="preserve">63101-1931                                                                                     </t>
  </si>
  <si>
    <t>Franciscan Sisters of Mary</t>
  </si>
  <si>
    <t>3221 McKelvey Rd Ste 107</t>
  </si>
  <si>
    <t xml:space="preserve">63044-2551                                                                                             </t>
  </si>
  <si>
    <t>Alpha Sigma Nu</t>
  </si>
  <si>
    <t xml:space="preserve">53201-1881                                                                                                  </t>
  </si>
  <si>
    <t>Family Care Health Centers</t>
  </si>
  <si>
    <t>401 Holly Hills Ave</t>
  </si>
  <si>
    <t xml:space="preserve">63111-2410                                                                                                </t>
  </si>
  <si>
    <t>Cigna Healthcare</t>
  </si>
  <si>
    <t>Cor Unit C2COR</t>
  </si>
  <si>
    <t>PO Box 180012</t>
  </si>
  <si>
    <t>Husch Blackwell LLP</t>
  </si>
  <si>
    <t>PO Box 802765</t>
  </si>
  <si>
    <t xml:space="preserve">64180-2765                                                                                                             </t>
  </si>
  <si>
    <t>Alberici Constructors</t>
  </si>
  <si>
    <t>PO Box 795032</t>
  </si>
  <si>
    <t xml:space="preserve">63179-0795                                                                                                           </t>
  </si>
  <si>
    <t>St. Louis Regional Chamber and Growth Association</t>
  </si>
  <si>
    <t>PO Box 60696</t>
  </si>
  <si>
    <t xml:space="preserve">63160-0696                                                                                </t>
  </si>
  <si>
    <t>University of Louisville</t>
  </si>
  <si>
    <t>Athletic Business Office E305</t>
  </si>
  <si>
    <t>2100 S Floyd St</t>
  </si>
  <si>
    <t xml:space="preserve">40292-0001                                                                          </t>
  </si>
  <si>
    <t>Treasurers Office</t>
  </si>
  <si>
    <t xml:space="preserve">63103-1020                                                                                        </t>
  </si>
  <si>
    <t>Wheeling Jesuit University</t>
  </si>
  <si>
    <t>Clifford M Lewis SJ Appalachian Institute</t>
  </si>
  <si>
    <t>316 Washington Ave</t>
  </si>
  <si>
    <t>Wheeling</t>
  </si>
  <si>
    <t xml:space="preserve">26003-6295                                                           </t>
  </si>
  <si>
    <t>Supreme Court of Missouri</t>
  </si>
  <si>
    <t>PO Box 448</t>
  </si>
  <si>
    <t xml:space="preserve">65102-0448                                                                                                       </t>
  </si>
  <si>
    <t>Johns Hopkins University</t>
  </si>
  <si>
    <t>Project Muse</t>
  </si>
  <si>
    <t>PO Box 19987</t>
  </si>
  <si>
    <t xml:space="preserve">21211-0987                                                                                               </t>
  </si>
  <si>
    <t>Schnucks Markets Inc</t>
  </si>
  <si>
    <t>PO Box 95-2018</t>
  </si>
  <si>
    <t xml:space="preserve">63195-0001                                                                                                           </t>
  </si>
  <si>
    <t>Vesalius College</t>
  </si>
  <si>
    <t>Vrije Universiteit Brussel</t>
  </si>
  <si>
    <t>Pleinlaan 2 B 1050</t>
  </si>
  <si>
    <t>Brussels</t>
  </si>
  <si>
    <t>ZZ</t>
  </si>
  <si>
    <t>Clayton Sleep Institute LLC</t>
  </si>
  <si>
    <t>11200 Tesson Ferry Rd Ste 100</t>
  </si>
  <si>
    <t xml:space="preserve">63123-6923                                                                                     </t>
  </si>
  <si>
    <t>Regents of the University of California Davis</t>
  </si>
  <si>
    <t>Uc Davis Extension</t>
  </si>
  <si>
    <t>1333 Research Park Dr</t>
  </si>
  <si>
    <t>Davis</t>
  </si>
  <si>
    <t xml:space="preserve">95618-4852                                                               </t>
  </si>
  <si>
    <t>National Medical Services</t>
  </si>
  <si>
    <t>3701 Welsh Rd</t>
  </si>
  <si>
    <t>PO Box 433A</t>
  </si>
  <si>
    <t>Willow Grove</t>
  </si>
  <si>
    <t xml:space="preserve">19090-0433                                                                                           </t>
  </si>
  <si>
    <t>LabOne Inc</t>
  </si>
  <si>
    <t>Dba Quest Diagnostics</t>
  </si>
  <si>
    <t>PO Box 772976</t>
  </si>
  <si>
    <t xml:space="preserve">60677-0001                                                                                                     </t>
  </si>
  <si>
    <t>Association of Schools of Allied Health Professions</t>
  </si>
  <si>
    <t>Science And Medicine</t>
  </si>
  <si>
    <t>PO Box 313</t>
  </si>
  <si>
    <t>Narberth</t>
  </si>
  <si>
    <t xml:space="preserve">19072-0313                                                               </t>
  </si>
  <si>
    <t>Trustees of Purdue University</t>
  </si>
  <si>
    <t>150 N University St</t>
  </si>
  <si>
    <t>West Lafayette</t>
  </si>
  <si>
    <t xml:space="preserve">47907-2067                                                                                          </t>
  </si>
  <si>
    <t>Knox College</t>
  </si>
  <si>
    <t>Attn Graduate School Fair 2017</t>
  </si>
  <si>
    <t>Campus Box K-232</t>
  </si>
  <si>
    <t>2 E South St</t>
  </si>
  <si>
    <t>Galesburg</t>
  </si>
  <si>
    <t xml:space="preserve">61401-4999                                                                         </t>
  </si>
  <si>
    <t>Broadcast Music Inc</t>
  </si>
  <si>
    <t>PO Box 630893</t>
  </si>
  <si>
    <t xml:space="preserve">45263-0893                                                                                                              </t>
  </si>
  <si>
    <t>American Mathematical Society</t>
  </si>
  <si>
    <t>PO Box 845904</t>
  </si>
  <si>
    <t xml:space="preserve">02284-5904                                                                                                        </t>
  </si>
  <si>
    <t>National Catholic College Admission Association</t>
  </si>
  <si>
    <t>PO Box 267</t>
  </si>
  <si>
    <t>New Albany</t>
  </si>
  <si>
    <t xml:space="preserve">43054-0267                                                                                     </t>
  </si>
  <si>
    <t>University of Mississippi</t>
  </si>
  <si>
    <t>Athletics Ticket Office</t>
  </si>
  <si>
    <t>PO Box 2550</t>
  </si>
  <si>
    <t xml:space="preserve">38655-4900                                                                                       </t>
  </si>
  <si>
    <t>Loyola University New Orleans</t>
  </si>
  <si>
    <t>Student Affairs</t>
  </si>
  <si>
    <t>6363 Saint Charles Ave Apt 13</t>
  </si>
  <si>
    <t xml:space="preserve">70118-6143                                                                    </t>
  </si>
  <si>
    <t>Seattle University</t>
  </si>
  <si>
    <t>901 12th Ave</t>
  </si>
  <si>
    <t xml:space="preserve">98122-4411                                                                                                                   </t>
  </si>
  <si>
    <t>Assn of College and University Housing Officers Internationa</t>
  </si>
  <si>
    <t>1445 Summit St</t>
  </si>
  <si>
    <t xml:space="preserve">43201-2105                                                                      </t>
  </si>
  <si>
    <t>United Health Group</t>
  </si>
  <si>
    <t>PO Box 6200</t>
  </si>
  <si>
    <t>Eau Claire</t>
  </si>
  <si>
    <t xml:space="preserve">54702-6200                                                                                                                </t>
  </si>
  <si>
    <t>Erasmus Boekhandel BV</t>
  </si>
  <si>
    <t>Box 10887</t>
  </si>
  <si>
    <t xml:space="preserve">60055-0001                                                                                                                  </t>
  </si>
  <si>
    <t>Eastern Kentucky University</t>
  </si>
  <si>
    <t>521 Lancaster Ave</t>
  </si>
  <si>
    <t xml:space="preserve">40475-3102                                                                                                    </t>
  </si>
  <si>
    <t>Old Republic National Title Insurance Company</t>
  </si>
  <si>
    <t>Attn: Accounting Department</t>
  </si>
  <si>
    <t>620 N McKnight Rd</t>
  </si>
  <si>
    <t xml:space="preserve">63132-4911                                                    </t>
  </si>
  <si>
    <t>American Academy of Periodontology</t>
  </si>
  <si>
    <t>PO Box 87618</t>
  </si>
  <si>
    <t xml:space="preserve">60680-0618                                                                                                   </t>
  </si>
  <si>
    <t>The CBORD Group Inc</t>
  </si>
  <si>
    <t>950 Danby Rd Ste 100C</t>
  </si>
  <si>
    <t>Ithaca</t>
  </si>
  <si>
    <t xml:space="preserve">14850-5795                                                                                                          </t>
  </si>
  <si>
    <t>Express Scripts Inc.</t>
  </si>
  <si>
    <t>21653 Network Pl</t>
  </si>
  <si>
    <t xml:space="preserve">60673-1216                                                                                                             </t>
  </si>
  <si>
    <t>Ruffalo Cody Holdings LLC</t>
  </si>
  <si>
    <t>Ruffalo Noel Levitz</t>
  </si>
  <si>
    <t>1025 Kirkwood Pkwy SW</t>
  </si>
  <si>
    <t xml:space="preserve">52404-8629                                                                           </t>
  </si>
  <si>
    <t>Southern Illinois Univ. Press</t>
  </si>
  <si>
    <t>PO Box 3697</t>
  </si>
  <si>
    <t>1915 University Press Dr</t>
  </si>
  <si>
    <t>Carbondale</t>
  </si>
  <si>
    <t xml:space="preserve">62901-4323                                                                              </t>
  </si>
  <si>
    <t>Assn of Directors of Geriatric Academic Programs</t>
  </si>
  <si>
    <t>40 Fulton St Fl 18</t>
  </si>
  <si>
    <t xml:space="preserve">10038-5082                                                                              </t>
  </si>
  <si>
    <t>Council on Library &amp; Information Resources</t>
  </si>
  <si>
    <t>1707 L St NW Ste 650</t>
  </si>
  <si>
    <t xml:space="preserve">20036-4228                                                                                </t>
  </si>
  <si>
    <t>ALM Media LLC</t>
  </si>
  <si>
    <t>PO Box 936174</t>
  </si>
  <si>
    <t xml:space="preserve">31193-6174                                                                                                                       </t>
  </si>
  <si>
    <t>Missouri Academy of Science</t>
  </si>
  <si>
    <t>W C Morris 132A</t>
  </si>
  <si>
    <t>University Of Central Missouri</t>
  </si>
  <si>
    <t>Colorado Springs School District 11</t>
  </si>
  <si>
    <t>William J Palmer High School</t>
  </si>
  <si>
    <t>301 N Nevada Ave</t>
  </si>
  <si>
    <t>Colorado Springs</t>
  </si>
  <si>
    <t xml:space="preserve">80903-1218                                                         </t>
  </si>
  <si>
    <t>Moolah Lanes LLC</t>
  </si>
  <si>
    <t>3821 Lindell Blvd Ste 2</t>
  </si>
  <si>
    <t xml:space="preserve">63108-3473                                                                                                      </t>
  </si>
  <si>
    <t>SESAC Incorporated</t>
  </si>
  <si>
    <t>PO Box 900013</t>
  </si>
  <si>
    <t xml:space="preserve">27675-9013                                                                                                                  </t>
  </si>
  <si>
    <t>Awards &amp; More LLC</t>
  </si>
  <si>
    <t>9222 Manchester Rd</t>
  </si>
  <si>
    <t xml:space="preserve">63144-2636                                                                                                          </t>
  </si>
  <si>
    <t>Town Hall Sports Incorporated</t>
  </si>
  <si>
    <t>5901 Cool Sports Rd</t>
  </si>
  <si>
    <t xml:space="preserve">62223-6848                                                                                              </t>
  </si>
  <si>
    <t>St Francis Xavier College Church</t>
  </si>
  <si>
    <t>Winters Inn</t>
  </si>
  <si>
    <t>3628 Lindell Blvd</t>
  </si>
  <si>
    <t xml:space="preserve">63108-3394                                                                                 </t>
  </si>
  <si>
    <t>Southern Illinois Laborers and Employers</t>
  </si>
  <si>
    <t>Health And Welfare Fund</t>
  </si>
  <si>
    <t>5100 Ed Smith Way Ste A1</t>
  </si>
  <si>
    <t xml:space="preserve">62959-7617                                                           </t>
  </si>
  <si>
    <t>International BioIron Society</t>
  </si>
  <si>
    <t>1100 E Woodfield Rd Ste 520</t>
  </si>
  <si>
    <t>Schaumburg</t>
  </si>
  <si>
    <t xml:space="preserve">60173-5125                                                                                      </t>
  </si>
  <si>
    <t>Fox Inc</t>
  </si>
  <si>
    <t>Fox Architects</t>
  </si>
  <si>
    <t>1 S Memorial Dr Ste 1800</t>
  </si>
  <si>
    <t xml:space="preserve">63102-2450                                                                                                </t>
  </si>
  <si>
    <t>J W Terrill Inc</t>
  </si>
  <si>
    <t>825 Maryville Centre Dr Ste 200</t>
  </si>
  <si>
    <t xml:space="preserve">63017-5942                                                                                              </t>
  </si>
  <si>
    <t>Lets Do Lunch Full Service Catering</t>
  </si>
  <si>
    <t>5381 Arsenal St</t>
  </si>
  <si>
    <t xml:space="preserve">63139-1401                                                                                           </t>
  </si>
  <si>
    <t>Midwest Scouting Service</t>
  </si>
  <si>
    <t>PO Box 7261</t>
  </si>
  <si>
    <t xml:space="preserve">73083-7261                                                                                                               </t>
  </si>
  <si>
    <t>Millikin University</t>
  </si>
  <si>
    <t>Millikin Career Center</t>
  </si>
  <si>
    <t>1184 W Main St</t>
  </si>
  <si>
    <t>Decatur</t>
  </si>
  <si>
    <t xml:space="preserve">62522-2084                                                                                          </t>
  </si>
  <si>
    <t>Rawlings Company</t>
  </si>
  <si>
    <t xml:space="preserve">40031-2000                                                                                                                    </t>
  </si>
  <si>
    <t>Christian Brothers University</t>
  </si>
  <si>
    <t>Cbu Career Services/Graduate School Expo</t>
  </si>
  <si>
    <t>Cbu Career Services/Graduate</t>
  </si>
  <si>
    <t>650 E Parkway S</t>
  </si>
  <si>
    <t xml:space="preserve">38104-5568                                 </t>
  </si>
  <si>
    <t>Alpha Eta National Honor Society</t>
  </si>
  <si>
    <t>Ithaca College</t>
  </si>
  <si>
    <t>320 Smiddy Hall</t>
  </si>
  <si>
    <t>953 Danby Rd</t>
  </si>
  <si>
    <t xml:space="preserve">14850-7000                                                                         </t>
  </si>
  <si>
    <t>UMWA Health &amp; Retirement Fund</t>
  </si>
  <si>
    <t>PO Box 16227</t>
  </si>
  <si>
    <t>Lubbock</t>
  </si>
  <si>
    <t xml:space="preserve">79490-6227                                                                                                        </t>
  </si>
  <si>
    <t>Generate Health StL</t>
  </si>
  <si>
    <t>1300 Hampton Ave Ste 111</t>
  </si>
  <si>
    <t xml:space="preserve">63139-3189                                                                                                  </t>
  </si>
  <si>
    <t>Bank of New York Mellon Trust Company NA</t>
  </si>
  <si>
    <t>Corporate Trust Department</t>
  </si>
  <si>
    <t>PO Box 392013</t>
  </si>
  <si>
    <t xml:space="preserve">15251-0001                                                               </t>
  </si>
  <si>
    <t>American Councils for International Education</t>
  </si>
  <si>
    <t>1828 L St NW Ste 1200</t>
  </si>
  <si>
    <t xml:space="preserve">20036-5136                                                                            </t>
  </si>
  <si>
    <t>Board of Trustees of Eastern Illinois University</t>
  </si>
  <si>
    <t>Attn Dave Kidwell</t>
  </si>
  <si>
    <t>600 Lincoln Ave</t>
  </si>
  <si>
    <t>Charleston</t>
  </si>
  <si>
    <t xml:space="preserve">61920-3011                                                              </t>
  </si>
  <si>
    <t>Mavis T Thompson Esq</t>
  </si>
  <si>
    <t>License Collector</t>
  </si>
  <si>
    <t>1200 Market St Rm 104</t>
  </si>
  <si>
    <t xml:space="preserve">63103-2804                                                                                   </t>
  </si>
  <si>
    <t>Softchoice Corporation</t>
  </si>
  <si>
    <t>314 W Superior St Ste 400</t>
  </si>
  <si>
    <t xml:space="preserve">60654-3538                                                                                                  </t>
  </si>
  <si>
    <t>American Society for Clinical Laboratory Science</t>
  </si>
  <si>
    <t>1861 International Dr Ste 200</t>
  </si>
  <si>
    <t xml:space="preserve">22102-4412                                                                    </t>
  </si>
  <si>
    <t>Lourdes University</t>
  </si>
  <si>
    <t>Department of Social Work</t>
  </si>
  <si>
    <t>6832 Convent Blvd Unit 2</t>
  </si>
  <si>
    <t>Sylvania</t>
  </si>
  <si>
    <t xml:space="preserve">43560-4891                                                                             </t>
  </si>
  <si>
    <t>Worker Rights Consortium</t>
  </si>
  <si>
    <t>5 Thomas Cir NW Fl 5</t>
  </si>
  <si>
    <t xml:space="preserve">20005-4158                                                                                                  </t>
  </si>
  <si>
    <t>Campuspeak Inc</t>
  </si>
  <si>
    <t>4613 N University Dr Ste 348</t>
  </si>
  <si>
    <t>Coral Springs</t>
  </si>
  <si>
    <t xml:space="preserve">33067-4602                                                                                                 </t>
  </si>
  <si>
    <t>Mid America Law Library Consortium</t>
  </si>
  <si>
    <t xml:space="preserve">63101-1931                                                                                          </t>
  </si>
  <si>
    <t>Quincy University</t>
  </si>
  <si>
    <t>Dr Brian Borlas</t>
  </si>
  <si>
    <t>300 N 24th St</t>
  </si>
  <si>
    <t xml:space="preserve">62301-3140                                                                                                     </t>
  </si>
  <si>
    <t>Aquifer Inc</t>
  </si>
  <si>
    <t>21 Lafayette St Ste 230</t>
  </si>
  <si>
    <t xml:space="preserve">03766-1445                                                                                                               </t>
  </si>
  <si>
    <t>United Way of Greater St Louis Inc.</t>
  </si>
  <si>
    <t>Attn: Finance/Pr Workshop</t>
  </si>
  <si>
    <t>910 N 11th St</t>
  </si>
  <si>
    <t xml:space="preserve">63101-1018                                                                    </t>
  </si>
  <si>
    <t>Center for Contemporary Arts</t>
  </si>
  <si>
    <t>524 Trinity Ave</t>
  </si>
  <si>
    <t xml:space="preserve">63130-4314                                                                                                  </t>
  </si>
  <si>
    <t>St Louis Behavioral Medicine Institute</t>
  </si>
  <si>
    <t>1129 Macklind Ave</t>
  </si>
  <si>
    <t xml:space="preserve">63110-1440                                                                                      </t>
  </si>
  <si>
    <t>West County EMS and Fire Protection District</t>
  </si>
  <si>
    <t>10789 Midland Blvd</t>
  </si>
  <si>
    <t xml:space="preserve">63114-1839                                                                               </t>
  </si>
  <si>
    <t>Ameren Illinois</t>
  </si>
  <si>
    <t>PO Box 88034</t>
  </si>
  <si>
    <t xml:space="preserve">60680-1034                                                                                                                      </t>
  </si>
  <si>
    <t>School District of the City of Ladue</t>
  </si>
  <si>
    <t>Ladue School District</t>
  </si>
  <si>
    <t>9703 Conway Rd</t>
  </si>
  <si>
    <t xml:space="preserve">63124-1698                                                                      </t>
  </si>
  <si>
    <t>Dartmouth Journal Services</t>
  </si>
  <si>
    <t>PO Box 1745</t>
  </si>
  <si>
    <t>Brattleboro</t>
  </si>
  <si>
    <t xml:space="preserve">05302-1745                                                                                                        </t>
  </si>
  <si>
    <t>University of Notre Dame du Lac</t>
  </si>
  <si>
    <t>Alliance For Catholic Education Teaching Fellows</t>
  </si>
  <si>
    <t>Alliance For Catholic</t>
  </si>
  <si>
    <t>107 Carole Sandner Hall</t>
  </si>
  <si>
    <t>Notre Dame</t>
  </si>
  <si>
    <t xml:space="preserve">46556-5700                   </t>
  </si>
  <si>
    <t>Jesuit Advancement Administrators</t>
  </si>
  <si>
    <t>College of The Holy Cross</t>
  </si>
  <si>
    <t>1 College St</t>
  </si>
  <si>
    <t xml:space="preserve">01610-2322                                                                         </t>
  </si>
  <si>
    <t>Great Lakes Educational Loan Services Inc</t>
  </si>
  <si>
    <t>PO Box 740199</t>
  </si>
  <si>
    <t xml:space="preserve">30374-0199                                                                                           </t>
  </si>
  <si>
    <t>St Louis College of Pharmacy</t>
  </si>
  <si>
    <t>Stlaurs Account Number 123479</t>
  </si>
  <si>
    <t>4588 Parkview Pl</t>
  </si>
  <si>
    <t xml:space="preserve">63110-1088                                                                    </t>
  </si>
  <si>
    <t>Service Employee's International Union Local #1</t>
  </si>
  <si>
    <t>Seiu Local 1/Cope</t>
  </si>
  <si>
    <t>PO Box 94407</t>
  </si>
  <si>
    <t xml:space="preserve">60690-4407                                                                     </t>
  </si>
  <si>
    <t>University of Ottawa</t>
  </si>
  <si>
    <t>65 University St Room 230</t>
  </si>
  <si>
    <t>Ottawa</t>
  </si>
  <si>
    <t xml:space="preserve">K1N 6N5                                                                                                        </t>
  </si>
  <si>
    <t>American College of Cardiology</t>
  </si>
  <si>
    <t>PO Box 37548</t>
  </si>
  <si>
    <t xml:space="preserve">21297-3548                                                                                                     </t>
  </si>
  <si>
    <t>Ameren Missouri</t>
  </si>
  <si>
    <t>PO Box 88068</t>
  </si>
  <si>
    <t xml:space="preserve">60680-1068                                                                                                                      </t>
  </si>
  <si>
    <t>Independent Colleges and Universities of Missouri</t>
  </si>
  <si>
    <t>PO Box 1865</t>
  </si>
  <si>
    <t xml:space="preserve">65102-1865                                                                              </t>
  </si>
  <si>
    <t>Bryan Cave Leighton Paisner LLP</t>
  </si>
  <si>
    <t>One Kansas City Place</t>
  </si>
  <si>
    <t>1200 Main St Ste 3500</t>
  </si>
  <si>
    <t xml:space="preserve">64105-2139                                                                    </t>
  </si>
  <si>
    <t>Rhodes College</t>
  </si>
  <si>
    <t>2000 N Parkway</t>
  </si>
  <si>
    <t xml:space="preserve">38112-1690                                                                                                                     </t>
  </si>
  <si>
    <t>Central ACCE Consortium</t>
  </si>
  <si>
    <t>Attn Ann Fick</t>
  </si>
  <si>
    <t>650 Maryville University Dr</t>
  </si>
  <si>
    <t>Apt 345</t>
  </si>
  <si>
    <t xml:space="preserve">63141-5849                                                                       </t>
  </si>
  <si>
    <t>Mercy Conference and Retreat Center</t>
  </si>
  <si>
    <t>2039 N Geyer Rd</t>
  </si>
  <si>
    <t xml:space="preserve">63131-3332                                                                                           </t>
  </si>
  <si>
    <t>Newberry Library</t>
  </si>
  <si>
    <t>c/o Carla Zecher</t>
  </si>
  <si>
    <t>60 W Walton St Fl 1</t>
  </si>
  <si>
    <t xml:space="preserve">60610-3380                                                                                              </t>
  </si>
  <si>
    <t>Chicago State University</t>
  </si>
  <si>
    <t>9501 S King Dr JCC 1502</t>
  </si>
  <si>
    <t xml:space="preserve">60628-1501                                                                                                  </t>
  </si>
  <si>
    <t>US Bank</t>
  </si>
  <si>
    <t>Global Documentary Services</t>
  </si>
  <si>
    <t>721 Locust St Sl-Mo-L2IL</t>
  </si>
  <si>
    <t>Case Western Reserve University</t>
  </si>
  <si>
    <t>Mock Trial</t>
  </si>
  <si>
    <t>University Center Station</t>
  </si>
  <si>
    <t>PO Box 606024</t>
  </si>
  <si>
    <t xml:space="preserve">44106-0524                                                                </t>
  </si>
  <si>
    <t>Bridgestone Retail Operations</t>
  </si>
  <si>
    <t>Firestone Complete Auto Care</t>
  </si>
  <si>
    <t>PO Box 403727</t>
  </si>
  <si>
    <t xml:space="preserve">30384-3727                                                                           </t>
  </si>
  <si>
    <t>United of Omaha Life Insurance Company</t>
  </si>
  <si>
    <t>8 Medicare Supplement Claims</t>
  </si>
  <si>
    <t>Mutual of Omaha Plaza</t>
  </si>
  <si>
    <t xml:space="preserve">68175-0001                                                            </t>
  </si>
  <si>
    <t>Board of Trustees University of Illinois</t>
  </si>
  <si>
    <t>1 University Plz</t>
  </si>
  <si>
    <t xml:space="preserve">62703-5407                                                                                     </t>
  </si>
  <si>
    <t>American Academy of Pediatrics</t>
  </si>
  <si>
    <t>PO Box 776413</t>
  </si>
  <si>
    <t xml:space="preserve">60677-6413                                                                                                      </t>
  </si>
  <si>
    <t>Allied Benefit Systems Inc</t>
  </si>
  <si>
    <t>200 W Adams St Ste 500</t>
  </si>
  <si>
    <t xml:space="preserve">60606-5215                                                                                                 </t>
  </si>
  <si>
    <t>Bond University Limited</t>
  </si>
  <si>
    <t>University Dr</t>
  </si>
  <si>
    <t>Gold CoastAustralia</t>
  </si>
  <si>
    <t xml:space="preserve">QLD 4229                                                                                                     </t>
  </si>
  <si>
    <t>Chess Club and Scholastic Center of St Louis</t>
  </si>
  <si>
    <t>4657 Maryland Ave</t>
  </si>
  <si>
    <t xml:space="preserve">63108-1912                                                                                </t>
  </si>
  <si>
    <t>City Garden Montessori School</t>
  </si>
  <si>
    <t>1618 Tower Grove Ave</t>
  </si>
  <si>
    <t xml:space="preserve">63110-2206                                                                                            </t>
  </si>
  <si>
    <t>Steve Max Inc</t>
  </si>
  <si>
    <t>10 Dellwood Rd</t>
  </si>
  <si>
    <t>White Plains</t>
  </si>
  <si>
    <t xml:space="preserve">10605-4945                                                                                                                 </t>
  </si>
  <si>
    <t>Blackbaud Inc</t>
  </si>
  <si>
    <t>PO Box 930256</t>
  </si>
  <si>
    <t xml:space="preserve">31193-0256                                                                                                                       </t>
  </si>
  <si>
    <t>St Anne Mission</t>
  </si>
  <si>
    <t>PO Box 366</t>
  </si>
  <si>
    <t>Chambers</t>
  </si>
  <si>
    <t xml:space="preserve">86502-0366                                                                                                                       </t>
  </si>
  <si>
    <t>School District of Clayton</t>
  </si>
  <si>
    <t>Counseling Office Clayton Hs</t>
  </si>
  <si>
    <t>1 Mark Twain Cir</t>
  </si>
  <si>
    <t xml:space="preserve">63105-1613                                                                       </t>
  </si>
  <si>
    <t>Ogletree Deakins Nash Smoak &amp; Stewart PC</t>
  </si>
  <si>
    <t>PO Box 89</t>
  </si>
  <si>
    <t xml:space="preserve">29202-0089                                                                                               </t>
  </si>
  <si>
    <t>Nexochile Limitada</t>
  </si>
  <si>
    <t>Agustinas 853 Of. 1001</t>
  </si>
  <si>
    <t xml:space="preserve">                                                                                                                    </t>
  </si>
  <si>
    <t>Aris Radiology Professionals of Michigan</t>
  </si>
  <si>
    <t>PO Box 72516</t>
  </si>
  <si>
    <t xml:space="preserve">44192-0002                                                                                           </t>
  </si>
  <si>
    <t>Metropolitan School District of Wayne Township</t>
  </si>
  <si>
    <t>1220 S High School Rd</t>
  </si>
  <si>
    <t xml:space="preserve">46241-3199                                                                         </t>
  </si>
  <si>
    <t>Institute for Democratic Education and Culture</t>
  </si>
  <si>
    <t>Dba Speak Out</t>
  </si>
  <si>
    <t>PO Box 22748</t>
  </si>
  <si>
    <t xml:space="preserve">94609-5348                                                                          </t>
  </si>
  <si>
    <t>Penn Mutual Life Insurance Company</t>
  </si>
  <si>
    <t>PO Box 7460</t>
  </si>
  <si>
    <t xml:space="preserve">19101-7460                                                                      </t>
  </si>
  <si>
    <t>Littler Mendelson PC</t>
  </si>
  <si>
    <t>PO Box 207137</t>
  </si>
  <si>
    <t xml:space="preserve">75320-7137                                                                                                                 </t>
  </si>
  <si>
    <t>Katie Rodriguez Banister</t>
  </si>
  <si>
    <t>PO Box 220751</t>
  </si>
  <si>
    <t xml:space="preserve">63122-0751                                                                                                        </t>
  </si>
  <si>
    <t>King Street Station Hotel Associates LP</t>
  </si>
  <si>
    <t>Embassy Suites Hotel</t>
  </si>
  <si>
    <t>1900 Diagonal Rd</t>
  </si>
  <si>
    <t xml:space="preserve">22314-2810                                                                   </t>
  </si>
  <si>
    <t>Intersociety Council for Pathology Information</t>
  </si>
  <si>
    <t>1801 Rockville Pike Ste 350</t>
  </si>
  <si>
    <t xml:space="preserve">20852-1641                                                                      </t>
  </si>
  <si>
    <t>Glock Professional Inc</t>
  </si>
  <si>
    <t>Smyrna</t>
  </si>
  <si>
    <t xml:space="preserve">30081-0369                                                                                                                  </t>
  </si>
  <si>
    <t>Facial Plastic and Cosmetic Surgery Center</t>
  </si>
  <si>
    <t>10448 Old Olive Street Rd</t>
  </si>
  <si>
    <t xml:space="preserve">63141-5927                                                                   </t>
  </si>
  <si>
    <t>SkillSoft Corporation</t>
  </si>
  <si>
    <t>PO Box 405527</t>
  </si>
  <si>
    <t xml:space="preserve">30384-0001                                                                                                </t>
  </si>
  <si>
    <t>Normandy School District</t>
  </si>
  <si>
    <t>3855 Lucas And Hunt Rd Lbby</t>
  </si>
  <si>
    <t xml:space="preserve">63121-2993                                                                                          </t>
  </si>
  <si>
    <t>Micro Data Systems</t>
  </si>
  <si>
    <t>Roth Group</t>
  </si>
  <si>
    <t>8831 Gladlea Dr</t>
  </si>
  <si>
    <t xml:space="preserve">63127-1418                                                                                                  </t>
  </si>
  <si>
    <t>Gotham Artists LLC</t>
  </si>
  <si>
    <t>550 3rd Ave Apt 2</t>
  </si>
  <si>
    <t xml:space="preserve">10016-3538                                                                                                             </t>
  </si>
  <si>
    <t>Alston Group International Trade Consultants Inc</t>
  </si>
  <si>
    <t>22 Lockewood Ln</t>
  </si>
  <si>
    <t>East Windsor</t>
  </si>
  <si>
    <t xml:space="preserve">08520-2826                                                                             </t>
  </si>
  <si>
    <t>London School of Economics and Political Science</t>
  </si>
  <si>
    <t>Cashiers AH300 Finance Division</t>
  </si>
  <si>
    <t>Houghton St</t>
  </si>
  <si>
    <t xml:space="preserve">WC2A2AE                                                             </t>
  </si>
  <si>
    <t>GFK US Holdings Inc</t>
  </si>
  <si>
    <t>Gfk Us LLC</t>
  </si>
  <si>
    <t>120 Eagle Rock Ave Ste 200</t>
  </si>
  <si>
    <t>East Hanover</t>
  </si>
  <si>
    <t xml:space="preserve">07936-3159                                                                                     </t>
  </si>
  <si>
    <t>APDM Inc</t>
  </si>
  <si>
    <t>2828 SW Corbett Ave Ste 135</t>
  </si>
  <si>
    <t xml:space="preserve">97201-4811                                                                                                             </t>
  </si>
  <si>
    <t>Midwest Assn of Allied Health Deans of Academic Medical Ctrs</t>
  </si>
  <si>
    <t>University Of Kansas School Of</t>
  </si>
  <si>
    <t>3901 Rainbow Blvd Ms 2007</t>
  </si>
  <si>
    <t xml:space="preserve">66160-0001                          </t>
  </si>
  <si>
    <t>PPM/University Tower LLC</t>
  </si>
  <si>
    <t>1034 S Brentwood Blvd Ste 300</t>
  </si>
  <si>
    <t xml:space="preserve">63117-1203                                                                                        </t>
  </si>
  <si>
    <t>Qalam Institute</t>
  </si>
  <si>
    <t>1148 W Pioneer Pkwy Ste C</t>
  </si>
  <si>
    <t xml:space="preserve">76013-6385                                                                                                       </t>
  </si>
  <si>
    <t>Carolina Association of Collegiate Registrars and Admissions</t>
  </si>
  <si>
    <t>PO Box 20011</t>
  </si>
  <si>
    <t xml:space="preserve">28407-0011                                                                      </t>
  </si>
  <si>
    <t>Brojak LLC</t>
  </si>
  <si>
    <t>12409 Betsy Ross Ln</t>
  </si>
  <si>
    <t xml:space="preserve">63146-4619                                                                                                                </t>
  </si>
  <si>
    <t>Association of Pediatric Surgery Training Program Directors</t>
  </si>
  <si>
    <t>700 Childrens Dr</t>
  </si>
  <si>
    <t xml:space="preserve">43205-2664                                                                     </t>
  </si>
  <si>
    <t>Chatstaff LLC</t>
  </si>
  <si>
    <t xml:space="preserve">27402-0413                                                                                                                       </t>
  </si>
  <si>
    <t>Delta Dental of Washington</t>
  </si>
  <si>
    <t>PO Box 84885</t>
  </si>
  <si>
    <t xml:space="preserve">98124-6185                                                                                                           </t>
  </si>
  <si>
    <t>TG</t>
  </si>
  <si>
    <t>PO Box 659601</t>
  </si>
  <si>
    <t xml:space="preserve">78265-9601                                                                                                                              </t>
  </si>
  <si>
    <t>Alice Training Institute LLC</t>
  </si>
  <si>
    <t>3593 Medina Rd Ste 320</t>
  </si>
  <si>
    <t>Medina</t>
  </si>
  <si>
    <t xml:space="preserve">44256-8182                                                                                                </t>
  </si>
  <si>
    <t>Multiweb Communications Inc</t>
  </si>
  <si>
    <t>4322 Harding Pike Ste 417</t>
  </si>
  <si>
    <t xml:space="preserve">37205-2664                                                                                           </t>
  </si>
  <si>
    <t>Austral Education Group LLC</t>
  </si>
  <si>
    <t>6161 Blue Lagoon Dr Ste 255B</t>
  </si>
  <si>
    <t xml:space="preserve">33126-2046                                                                                            </t>
  </si>
  <si>
    <t>Basketball Promotions and Events LLC</t>
  </si>
  <si>
    <t>104 River Chase</t>
  </si>
  <si>
    <t>Hendersonville</t>
  </si>
  <si>
    <t xml:space="preserve">37075-5826                                                                                       </t>
  </si>
  <si>
    <t>English Province of the Order of Preachers</t>
  </si>
  <si>
    <t>Blackfriars Hall</t>
  </si>
  <si>
    <t>St Giles</t>
  </si>
  <si>
    <t xml:space="preserve">OX1 3LY                                                                                     </t>
  </si>
  <si>
    <t>Phoenix Bioinformatics Corp</t>
  </si>
  <si>
    <t>39221 Paseo Padre Pkwy Ste J</t>
  </si>
  <si>
    <t xml:space="preserve">94538-1606                                                                                          </t>
  </si>
  <si>
    <t>ReliaStar Life Insurance Company</t>
  </si>
  <si>
    <t>100 W 33rd St Ste 1007</t>
  </si>
  <si>
    <t xml:space="preserve">10001-2982                                                                                          </t>
  </si>
  <si>
    <t>Imprensia Communications</t>
  </si>
  <si>
    <t>215 Monclay Ct Apt 2N</t>
  </si>
  <si>
    <t xml:space="preserve">63122-4228                                                                                                </t>
  </si>
  <si>
    <t>Hilltown Tents</t>
  </si>
  <si>
    <t>1144 Watson Spruce Corner Rd</t>
  </si>
  <si>
    <t>Ashfield</t>
  </si>
  <si>
    <t xml:space="preserve">01330-9790                                                                                                      </t>
  </si>
  <si>
    <t>National Center for Healthcare Leadership</t>
  </si>
  <si>
    <t>1700 W Van Buren St Ste 126B</t>
  </si>
  <si>
    <t xml:space="preserve">60612-3228                                                                            </t>
  </si>
  <si>
    <t>Vision Service Plan Insurance Company</t>
  </si>
  <si>
    <t>PO Box 74259</t>
  </si>
  <si>
    <t xml:space="preserve">90074-0001                                                                                            </t>
  </si>
  <si>
    <t>Amber Road Inc</t>
  </si>
  <si>
    <t>1 Meadowlands Plz Ste 1500</t>
  </si>
  <si>
    <t>East Rutherford</t>
  </si>
  <si>
    <t xml:space="preserve">07073-2151                                                                                                 </t>
  </si>
  <si>
    <t>TwoFour Creative LLC</t>
  </si>
  <si>
    <t>5526 Windford Dr</t>
  </si>
  <si>
    <t xml:space="preserve">63129-3529                                                                                                         </t>
  </si>
  <si>
    <t>Association of American Colleges and Universities</t>
  </si>
  <si>
    <t>1818 R St NW</t>
  </si>
  <si>
    <t xml:space="preserve">20009-1604                                                                                 </t>
  </si>
  <si>
    <t>Colle and McVoy</t>
  </si>
  <si>
    <t>88173 Expedite Way</t>
  </si>
  <si>
    <t xml:space="preserve">60695-0002                                                                                                                </t>
  </si>
  <si>
    <t>Cornerstone Center for Early Learning Inc</t>
  </si>
  <si>
    <t>3901 Russell Blvd</t>
  </si>
  <si>
    <t xml:space="preserve">63110-3709                                                                                   </t>
  </si>
  <si>
    <t>North Campus Partnership</t>
  </si>
  <si>
    <t>4449 Red Bud Ave</t>
  </si>
  <si>
    <t xml:space="preserve">63115-3126                                                                                                     </t>
  </si>
  <si>
    <t>University Club</t>
  </si>
  <si>
    <t>PO Box 8000</t>
  </si>
  <si>
    <t xml:space="preserve">14267-0002                                                                                                                       </t>
  </si>
  <si>
    <t>Healthcare Quality Improvement Solutions LLC</t>
  </si>
  <si>
    <t>3236 Forest Lane Ct</t>
  </si>
  <si>
    <t xml:space="preserve">63129-5290                                                                              </t>
  </si>
  <si>
    <t>Aetna Better Health</t>
  </si>
  <si>
    <t>4500 E Cotton Center Blvd</t>
  </si>
  <si>
    <t xml:space="preserve">85040-8840                                                                                                     </t>
  </si>
  <si>
    <t>OptumRx</t>
  </si>
  <si>
    <t>PO Box 6104</t>
  </si>
  <si>
    <t>Cypress</t>
  </si>
  <si>
    <t xml:space="preserve">90630-0087                                                                                                                               </t>
  </si>
  <si>
    <t>World Bird Sanctuary</t>
  </si>
  <si>
    <t>125 Bald Eagle Ridge Rd</t>
  </si>
  <si>
    <t xml:space="preserve">63088-2036                                                                                                  </t>
  </si>
  <si>
    <t>New Madrid County R-1 School district</t>
  </si>
  <si>
    <t>310 US Highway 61</t>
  </si>
  <si>
    <t>New Madrid</t>
  </si>
  <si>
    <t xml:space="preserve">63869-9753                                                                                        </t>
  </si>
  <si>
    <t>Cypress Benefit Administrators</t>
  </si>
  <si>
    <t>PO Box 7020</t>
  </si>
  <si>
    <t xml:space="preserve">54912-7020                                                                                                       </t>
  </si>
  <si>
    <t>Moto Hotel Subtenant LLC</t>
  </si>
  <si>
    <t>Hotel Ignacio</t>
  </si>
  <si>
    <t>3411 Olive St</t>
  </si>
  <si>
    <t xml:space="preserve">63103-1116                                                                                           </t>
  </si>
  <si>
    <t>Schierding Law LLC</t>
  </si>
  <si>
    <t>29 S 9th St Ste 206</t>
  </si>
  <si>
    <t xml:space="preserve">65201-4884                                                                                                           </t>
  </si>
  <si>
    <t>Impact Journals LLC</t>
  </si>
  <si>
    <t>6666 E Quaker St Ste 4</t>
  </si>
  <si>
    <t>Orchard Park</t>
  </si>
  <si>
    <t xml:space="preserve">14127-2547                                                                                                   </t>
  </si>
  <si>
    <t>Medicus Healthcare Solutions LLC</t>
  </si>
  <si>
    <t>22 Roulston Rd</t>
  </si>
  <si>
    <t>Windham</t>
  </si>
  <si>
    <t xml:space="preserve">03087-1209                                                                                                   </t>
  </si>
  <si>
    <t>Workforce Development Board</t>
  </si>
  <si>
    <t>Attn Crystal Backer</t>
  </si>
  <si>
    <t>760 S Kingshighway St Ste C</t>
  </si>
  <si>
    <t xml:space="preserve">63703-7676                                                                 </t>
  </si>
  <si>
    <t>Prodata Group LLC</t>
  </si>
  <si>
    <t>212 Orchard Xing</t>
  </si>
  <si>
    <t>Morgantown</t>
  </si>
  <si>
    <t xml:space="preserve">26505-1724                                                                                                             </t>
  </si>
  <si>
    <t>House of Pals Inc</t>
  </si>
  <si>
    <t>5057 Ridge Ave</t>
  </si>
  <si>
    <t xml:space="preserve">63113-1403                                                                                                              </t>
  </si>
  <si>
    <t>Info Digital Africa Limited</t>
  </si>
  <si>
    <t>32 Community Road</t>
  </si>
  <si>
    <t>Off Ogundana St</t>
  </si>
  <si>
    <t>Off Allen Ave</t>
  </si>
  <si>
    <t>Penelope Nettles and her Attorneys</t>
  </si>
  <si>
    <t>The Simon Law Firm Pc</t>
  </si>
  <si>
    <t xml:space="preserve">63101-2506                                                                </t>
  </si>
  <si>
    <t>Brotherhood Mutual</t>
  </si>
  <si>
    <t>PO Box 2228</t>
  </si>
  <si>
    <t>6400 Brotherhood Way</t>
  </si>
  <si>
    <t>Fort Wayne</t>
  </si>
  <si>
    <t xml:space="preserve">46825-4251                                                                                             </t>
  </si>
  <si>
    <t>Buff Enterprises</t>
  </si>
  <si>
    <t>Dba Supplement Superstores</t>
  </si>
  <si>
    <t>PO Box 771881</t>
  </si>
  <si>
    <t xml:space="preserve">63177-1881                                                                                      </t>
  </si>
  <si>
    <t>McNeilePappas PC</t>
  </si>
  <si>
    <t>7500 W 110th St Ste 110</t>
  </si>
  <si>
    <t xml:space="preserve">66210-2476                                                                                                    </t>
  </si>
  <si>
    <t>Association of College and University Policy Administrators</t>
  </si>
  <si>
    <t>107 S Indiana Ave</t>
  </si>
  <si>
    <t xml:space="preserve">47405-7000                                                                 </t>
  </si>
  <si>
    <t>Quadrangle Housing Company</t>
  </si>
  <si>
    <t>Campus Box 106</t>
  </si>
  <si>
    <t>700 Rosedale Ave</t>
  </si>
  <si>
    <t xml:space="preserve">63112-1408                                                                                     </t>
  </si>
  <si>
    <t>Sparrow Psychological Services</t>
  </si>
  <si>
    <t>777 Craig Rd Ste 100</t>
  </si>
  <si>
    <t xml:space="preserve">63141-7133                                                                                           </t>
  </si>
  <si>
    <t>Avalanche Baseball Club LLC</t>
  </si>
  <si>
    <t>Attn Steve Menendez</t>
  </si>
  <si>
    <t>5812 Bahnfyre Ct</t>
  </si>
  <si>
    <t xml:space="preserve">63128-3365                                                                               </t>
  </si>
  <si>
    <t>Special Insurance Services Inc</t>
  </si>
  <si>
    <t>PO Box 250349</t>
  </si>
  <si>
    <t>Plano</t>
  </si>
  <si>
    <t xml:space="preserve">75025-0349                                                                                                        </t>
  </si>
  <si>
    <t>Trendtown LLC</t>
  </si>
  <si>
    <t>Murphy Marketing Research</t>
  </si>
  <si>
    <t>161 Green Bay Rd</t>
  </si>
  <si>
    <t>Thiensville</t>
  </si>
  <si>
    <t xml:space="preserve">53092-1603                                                                                       </t>
  </si>
  <si>
    <t>Downtown St Louis Foundation Inc</t>
  </si>
  <si>
    <t xml:space="preserve">63101-2324                                                                                         </t>
  </si>
  <si>
    <t>Lewis-Burke Associates</t>
  </si>
  <si>
    <t>440 1st St NW Ste 700</t>
  </si>
  <si>
    <t xml:space="preserve">20001-3036                                                                                                   </t>
  </si>
  <si>
    <t>Joseph E Nolan Beverly Caddy Scholarship Foundation</t>
  </si>
  <si>
    <t>8700 S Western Ave</t>
  </si>
  <si>
    <t xml:space="preserve">60620-6144                                                                            </t>
  </si>
  <si>
    <t>Katie Lindner Consulting LLC</t>
  </si>
  <si>
    <t>2198 Boston St SE</t>
  </si>
  <si>
    <t xml:space="preserve">97322-5897                                                                                                     </t>
  </si>
  <si>
    <t>ExL Events LLC</t>
  </si>
  <si>
    <t>494 8th Ave Fl 4</t>
  </si>
  <si>
    <t xml:space="preserve">10001-2543                                                                                                                  </t>
  </si>
  <si>
    <t>Covaris</t>
  </si>
  <si>
    <t>14 Gill St Unit H</t>
  </si>
  <si>
    <t xml:space="preserve">01801-1721                                                                                                                          </t>
  </si>
  <si>
    <t>Ohio Alliance of Dual Enrollment Partnerships</t>
  </si>
  <si>
    <t>570 E Leffel Ln</t>
  </si>
  <si>
    <t xml:space="preserve">45505-4749                                                                                 </t>
  </si>
  <si>
    <t>Ventura Village Partners</t>
  </si>
  <si>
    <t>Dba Laurel Park Apts</t>
  </si>
  <si>
    <t>9605 Jacobi Ave</t>
  </si>
  <si>
    <t xml:space="preserve">63136-2902                                                                                  </t>
  </si>
  <si>
    <t>PhillipSharone</t>
  </si>
  <si>
    <t>7219 S Hermitage Ave</t>
  </si>
  <si>
    <t xml:space="preserve">60636-3847                                                                                                               </t>
  </si>
  <si>
    <t>Thaxton Speakeasy</t>
  </si>
  <si>
    <t>1009 Olive St</t>
  </si>
  <si>
    <t xml:space="preserve">63101-2001                                                                                                               </t>
  </si>
  <si>
    <t>Joseph F Shea DDS Inc</t>
  </si>
  <si>
    <t>Saint Louis Prosthodontics</t>
  </si>
  <si>
    <t>3701 S Lindbergh Blvd Ste 201</t>
  </si>
  <si>
    <t xml:space="preserve">63127-1372                                                                 </t>
  </si>
  <si>
    <t>Oliver A Dulle Jr and Company</t>
  </si>
  <si>
    <t>8000 Maryland Ave Ste 1320</t>
  </si>
  <si>
    <t xml:space="preserve">63105-3910                                                                                      </t>
  </si>
  <si>
    <t>Missouri State Medical Assn Physician Health Foundation</t>
  </si>
  <si>
    <t>Missouri Physicians Health Program</t>
  </si>
  <si>
    <t>Missouri Physicians Health</t>
  </si>
  <si>
    <t>680 Craig Rd Ste 308</t>
  </si>
  <si>
    <t xml:space="preserve">63141-7165      </t>
  </si>
  <si>
    <t>Coptic Nation Temple Inc</t>
  </si>
  <si>
    <t>c/o Candance Cultural Center</t>
  </si>
  <si>
    <t>6359 S Seeley Ave</t>
  </si>
  <si>
    <t xml:space="preserve">60636-2509                                                                            </t>
  </si>
  <si>
    <t>Prestige Financial Service Inc</t>
  </si>
  <si>
    <t>The Olsen Law Firm LLC</t>
  </si>
  <si>
    <t>118 N Conistor Ln Ste B290</t>
  </si>
  <si>
    <t>Liberty</t>
  </si>
  <si>
    <t xml:space="preserve">64068-1957                                                                   </t>
  </si>
  <si>
    <t>Pittenger Law Group</t>
  </si>
  <si>
    <t>6900 College Blvd Ste 325</t>
  </si>
  <si>
    <t xml:space="preserve">66211-1513                                                                                                     </t>
  </si>
  <si>
    <t>AHC Consulting LLC</t>
  </si>
  <si>
    <t>9200 Olive Blvd Ste 200</t>
  </si>
  <si>
    <t xml:space="preserve">63132-3260                                                                                                    </t>
  </si>
  <si>
    <t>Asusa Services LLC</t>
  </si>
  <si>
    <t>Asymmetric Solutions</t>
  </si>
  <si>
    <t>5733 Westwood Dr</t>
  </si>
  <si>
    <t>Weldon Spring</t>
  </si>
  <si>
    <t xml:space="preserve">63304-7650                                                                                     </t>
  </si>
  <si>
    <t>United Network for Organ Sharing</t>
  </si>
  <si>
    <t>700 N 4th St</t>
  </si>
  <si>
    <t xml:space="preserve">23219-1414                                                                                                    </t>
  </si>
  <si>
    <t>Jim Gill Inc</t>
  </si>
  <si>
    <t>PO Box 2263</t>
  </si>
  <si>
    <t>Oak Park</t>
  </si>
  <si>
    <t xml:space="preserve">60303-2263                                                                                                                         </t>
  </si>
  <si>
    <t>Harold E Roberts Realty Company Inc</t>
  </si>
  <si>
    <t>Roberts Realty</t>
  </si>
  <si>
    <t>3229 S Brentwood Blvd</t>
  </si>
  <si>
    <t xml:space="preserve">63119-1780                                                                       </t>
  </si>
  <si>
    <t>Kud Djerdan</t>
  </si>
  <si>
    <t>172 Sappington Acres Dr</t>
  </si>
  <si>
    <t xml:space="preserve">63126-3532                                                                                                           </t>
  </si>
  <si>
    <t>BTC Media LLC</t>
  </si>
  <si>
    <t>PO Box 1411</t>
  </si>
  <si>
    <t xml:space="preserve">37334-1411                                                                                                                    </t>
  </si>
  <si>
    <t>GKIDS Inc</t>
  </si>
  <si>
    <t>225 Broadway Ste 2610</t>
  </si>
  <si>
    <t xml:space="preserve">10007-3092                                                                                                                  </t>
  </si>
  <si>
    <t>Faber &amp; Brand LLC</t>
  </si>
  <si>
    <t>PO Box 10110</t>
  </si>
  <si>
    <t xml:space="preserve">65205-4000                                                                                                                   </t>
  </si>
  <si>
    <t>Travel Travel Kirkwood Inc</t>
  </si>
  <si>
    <t>Travelplex Travel And Cruise</t>
  </si>
  <si>
    <t>726 N New Ballas Rd</t>
  </si>
  <si>
    <t xml:space="preserve">63141-6716                                                                    </t>
  </si>
  <si>
    <t>Maydream</t>
  </si>
  <si>
    <t>192 Lexington Ave Ste 14</t>
  </si>
  <si>
    <t xml:space="preserve">10016-6823                                                                                                                </t>
  </si>
  <si>
    <t>Karen S Carpentier</t>
  </si>
  <si>
    <t>813 Eunice Ave</t>
  </si>
  <si>
    <t xml:space="preserve">63119-1918                                                                                                             </t>
  </si>
  <si>
    <t>The Clarion Group</t>
  </si>
  <si>
    <t>920 Farmington Ave Ste 100</t>
  </si>
  <si>
    <t>West Hartford</t>
  </si>
  <si>
    <t xml:space="preserve">06107-2224                                                                                                </t>
  </si>
  <si>
    <t>Ardilla Translations LLC</t>
  </si>
  <si>
    <t>1401 Bobolink Pl</t>
  </si>
  <si>
    <t xml:space="preserve">63144-1128                                                                                                     </t>
  </si>
  <si>
    <t>Goal Driven Counseling LLC</t>
  </si>
  <si>
    <t>PO Box 125</t>
  </si>
  <si>
    <t>2200 N Highway 67</t>
  </si>
  <si>
    <t xml:space="preserve">63033-9997                                                                                         </t>
  </si>
  <si>
    <t>Allie K Valleroy and Her Attorneys</t>
  </si>
  <si>
    <t>Weilmuenster And Keck Pc</t>
  </si>
  <si>
    <t xml:space="preserve">62226-6619                                                                      </t>
  </si>
  <si>
    <t>SunTrust Mortgage Inc</t>
  </si>
  <si>
    <t>Mail Code 633</t>
  </si>
  <si>
    <t>PO Box 4418</t>
  </si>
  <si>
    <t xml:space="preserve">30302-4418                                                                                                    </t>
  </si>
  <si>
    <t>University Physician Associates</t>
  </si>
  <si>
    <t>PO Box 871174</t>
  </si>
  <si>
    <t xml:space="preserve">64187-1174                                                                                                 </t>
  </si>
  <si>
    <t>Park US Lessee Holdings Inc</t>
  </si>
  <si>
    <t>Hilton San Francisco Union Square</t>
  </si>
  <si>
    <t>Hilton San Francisco Union</t>
  </si>
  <si>
    <t>33 Ofarrell St</t>
  </si>
  <si>
    <t xml:space="preserve">94108-5803                                       </t>
  </si>
  <si>
    <t>365 Safety Services LLC</t>
  </si>
  <si>
    <t>PO Box 105533</t>
  </si>
  <si>
    <t xml:space="preserve">65110-5533                                                                                                      </t>
  </si>
  <si>
    <t>Country Club of St Albans Inc</t>
  </si>
  <si>
    <t>PO Box 5</t>
  </si>
  <si>
    <t>Saint Albans</t>
  </si>
  <si>
    <t xml:space="preserve">63073-0005                                                                                                       </t>
  </si>
  <si>
    <t>Quadi Sas</t>
  </si>
  <si>
    <t>Calle 99 N 7A-77 Piso 2</t>
  </si>
  <si>
    <t>Bogota DC</t>
  </si>
  <si>
    <t xml:space="preserve">                                                                                                                           </t>
  </si>
  <si>
    <t>737Fetus.net</t>
  </si>
  <si>
    <t>7724 Crow Cut Rd</t>
  </si>
  <si>
    <t>Fairview</t>
  </si>
  <si>
    <t xml:space="preserve">37062-8215                                                                                                                    </t>
  </si>
  <si>
    <t>Rothstein Enterprises Inc</t>
  </si>
  <si>
    <t>c/o Wme Entertainment LLC</t>
  </si>
  <si>
    <t>11 Madison Ave Fl 18</t>
  </si>
  <si>
    <t xml:space="preserve">10010-3669                                                                          </t>
  </si>
  <si>
    <t>Edustar Holdings Limited</t>
  </si>
  <si>
    <t>Ho 18 Zhongguam Oun East Rd Ste 1202</t>
  </si>
  <si>
    <t>Beijing</t>
  </si>
  <si>
    <t>AGB Strategies</t>
  </si>
  <si>
    <t>St Louis Area Diaper Bank</t>
  </si>
  <si>
    <t>2653 Locust St</t>
  </si>
  <si>
    <t xml:space="preserve">63103-1411                                                                                                      </t>
  </si>
  <si>
    <t>PVH Corp</t>
  </si>
  <si>
    <t>PO Box 6962</t>
  </si>
  <si>
    <t>Bridgewater</t>
  </si>
  <si>
    <t xml:space="preserve">08807-0962                                                                                                                          </t>
  </si>
  <si>
    <t>Missouri Coalition for Primary Health Care</t>
  </si>
  <si>
    <t>Missouri Primary Care Association</t>
  </si>
  <si>
    <t>Missouri Primary Care</t>
  </si>
  <si>
    <t>3325 Emerald Ln</t>
  </si>
  <si>
    <t xml:space="preserve">65109-6879                           </t>
  </si>
  <si>
    <t>Richmond Coliseum Joint Venture</t>
  </si>
  <si>
    <t>Smg Richmond Coliseum</t>
  </si>
  <si>
    <t>601 E Leigh St</t>
  </si>
  <si>
    <t xml:space="preserve">23219-1443                                                                              </t>
  </si>
  <si>
    <t>Colonial Penn Life Insurance</t>
  </si>
  <si>
    <t xml:space="preserve">79120-0969                                                                               </t>
  </si>
  <si>
    <t>A-Team Bounce House Rentals LLC</t>
  </si>
  <si>
    <t>965 Cottontail Ln</t>
  </si>
  <si>
    <t xml:space="preserve">63303-7328                                                                                           </t>
  </si>
  <si>
    <t>World Customs Brokerage Inc</t>
  </si>
  <si>
    <t>1313 4th Ave</t>
  </si>
  <si>
    <t>New Hyde Park</t>
  </si>
  <si>
    <t xml:space="preserve">11040-5541                                                                                                    </t>
  </si>
  <si>
    <t>IEFT International Education Fairs of Turkey</t>
  </si>
  <si>
    <t>Mesrutiyet cad Aslihan</t>
  </si>
  <si>
    <t>Pasaji No 10 Kat 4</t>
  </si>
  <si>
    <t>Beyoglu</t>
  </si>
  <si>
    <t>Istanbul</t>
  </si>
  <si>
    <t>Melibee Global</t>
  </si>
  <si>
    <t>310 Roxbury Pl</t>
  </si>
  <si>
    <t>Arden</t>
  </si>
  <si>
    <t xml:space="preserve">28704-9309                                                                                                                       </t>
  </si>
  <si>
    <t>Franklin &amp; Marshall College</t>
  </si>
  <si>
    <t>PO Box 3003</t>
  </si>
  <si>
    <t xml:space="preserve">17604-3003                                                                                                         </t>
  </si>
  <si>
    <t>Cozen O'Connor</t>
  </si>
  <si>
    <t>PO Box 7247</t>
  </si>
  <si>
    <t xml:space="preserve">19170-0001                                                                                                                   </t>
  </si>
  <si>
    <t>American College of Surgeons</t>
  </si>
  <si>
    <t>633 N Saint Clair St Ste 2400</t>
  </si>
  <si>
    <t xml:space="preserve">60611-5927                                                                                        </t>
  </si>
  <si>
    <t>I Need A Tent LLC</t>
  </si>
  <si>
    <t>Universal Rentals</t>
  </si>
  <si>
    <t>9437 Watson Industrial Park</t>
  </si>
  <si>
    <t xml:space="preserve">63126-1522                                                                                </t>
  </si>
  <si>
    <t>One Stone Development Co LLC</t>
  </si>
  <si>
    <t>103 Clermont Ct</t>
  </si>
  <si>
    <t xml:space="preserve">63124-1302                                                                                                  </t>
  </si>
  <si>
    <t>Bwah Productions Inc</t>
  </si>
  <si>
    <t>33 Riverwynde Dr</t>
  </si>
  <si>
    <t>Arundel</t>
  </si>
  <si>
    <t>ME</t>
  </si>
  <si>
    <t xml:space="preserve">04046-7504                                                                                                             </t>
  </si>
  <si>
    <t>Berkshire Hathaway Guard Insurance</t>
  </si>
  <si>
    <t>PO Box 1368</t>
  </si>
  <si>
    <t>Wilkes Barre</t>
  </si>
  <si>
    <t xml:space="preserve">18703-1368                                                                                               </t>
  </si>
  <si>
    <t>Liberated Genius LLC</t>
  </si>
  <si>
    <t>4125 Humphrey St</t>
  </si>
  <si>
    <t xml:space="preserve">63116-3824                                                                                                         </t>
  </si>
  <si>
    <t>Women's Wisdom Initiative</t>
  </si>
  <si>
    <t>134 Upham St</t>
  </si>
  <si>
    <t>Petaluma</t>
  </si>
  <si>
    <t xml:space="preserve">94952-2643                                                                                                           </t>
  </si>
  <si>
    <t>Good Samaritan Regional Health Center</t>
  </si>
  <si>
    <t>1 Good Samaritan Way</t>
  </si>
  <si>
    <t xml:space="preserve">62864-2402                                                                                   </t>
  </si>
  <si>
    <t>Computing Research Association</t>
  </si>
  <si>
    <t>PO Box 75611</t>
  </si>
  <si>
    <t xml:space="preserve">21275-5611                                                                                                     </t>
  </si>
  <si>
    <t>Geological Society of London</t>
  </si>
  <si>
    <t>Publishing House</t>
  </si>
  <si>
    <t>Unit 7 Brassmill Enterprise Centre</t>
  </si>
  <si>
    <t>Bath Somerset</t>
  </si>
  <si>
    <t xml:space="preserve">BA1 3JN                                                                  </t>
  </si>
  <si>
    <t>Gateway Grizzlies</t>
  </si>
  <si>
    <t>2301 Grizzlie Bear Blvd</t>
  </si>
  <si>
    <t>Sauget</t>
  </si>
  <si>
    <t xml:space="preserve">62206-2820                                                                                                          </t>
  </si>
  <si>
    <t>Association of Pediatric Program Directors</t>
  </si>
  <si>
    <t xml:space="preserve">22101-3906                                                                             </t>
  </si>
  <si>
    <t>Kirkwood Community College</t>
  </si>
  <si>
    <t>6301 Kirkwood Blvd SW</t>
  </si>
  <si>
    <t xml:space="preserve">52406-2068                                                                                             </t>
  </si>
  <si>
    <t>Fordham University</t>
  </si>
  <si>
    <t>Attn: Stephen Clarke</t>
  </si>
  <si>
    <t>441 E Fordham Rd</t>
  </si>
  <si>
    <t xml:space="preserve">10458-9993                                                                                             </t>
  </si>
  <si>
    <t>University of Toronto Press Incorporated</t>
  </si>
  <si>
    <t>2250 Military Rd Ste 1</t>
  </si>
  <si>
    <t xml:space="preserve">14150-6000                                                                                 </t>
  </si>
  <si>
    <t>Missouri Health Laboratory</t>
  </si>
  <si>
    <t>PO Box 570</t>
  </si>
  <si>
    <t xml:space="preserve">65102-0570                                                                                                      </t>
  </si>
  <si>
    <t>National Academic Advising Association</t>
  </si>
  <si>
    <t>Nacada Resigtration</t>
  </si>
  <si>
    <t>2323 Anderson Ave Ste 225</t>
  </si>
  <si>
    <t>Manhattan</t>
  </si>
  <si>
    <t xml:space="preserve">66502-2912                                                             </t>
  </si>
  <si>
    <t>Illinois State Bar Association</t>
  </si>
  <si>
    <t>20 S Clark St Ste 900</t>
  </si>
  <si>
    <t xml:space="preserve">60603-1885                                                                                              </t>
  </si>
  <si>
    <t>Harvard Business Review</t>
  </si>
  <si>
    <t>Customer Service</t>
  </si>
  <si>
    <t>60 Harvard Way</t>
  </si>
  <si>
    <t xml:space="preserve">02163-1000                                                                                             </t>
  </si>
  <si>
    <t>Society for Academic Emergency Medicine</t>
  </si>
  <si>
    <t>1111 E Touhy Ave Ste 540</t>
  </si>
  <si>
    <t xml:space="preserve">60018-5803                                                                              </t>
  </si>
  <si>
    <t>Aetna</t>
  </si>
  <si>
    <t>29408 Reliable Pkwy</t>
  </si>
  <si>
    <t>Mail Stop U23S</t>
  </si>
  <si>
    <t xml:space="preserve">60686-0001                                                                                                           </t>
  </si>
  <si>
    <t>Intaglio Creative Services</t>
  </si>
  <si>
    <t>7166 Manchester Rd Fl 2</t>
  </si>
  <si>
    <t xml:space="preserve">63143-2408                                                                                            </t>
  </si>
  <si>
    <t>Accreditation Council for Continuing Medical Education</t>
  </si>
  <si>
    <t>515 N State St Ste 2150</t>
  </si>
  <si>
    <t xml:space="preserve">60654-4864                                                                    </t>
  </si>
  <si>
    <t>Association of Corporate Counsel</t>
  </si>
  <si>
    <t>PO Box 824272</t>
  </si>
  <si>
    <t xml:space="preserve">19182-4272                                                                                               </t>
  </si>
  <si>
    <t>US Department of Education</t>
  </si>
  <si>
    <t>PO Box 790356</t>
  </si>
  <si>
    <t xml:space="preserve">63179-0356                                                                                                      </t>
  </si>
  <si>
    <t>International Language Center</t>
  </si>
  <si>
    <t>1416 S Big Bend Blvd</t>
  </si>
  <si>
    <t xml:space="preserve">63117-2204                                                                                            </t>
  </si>
  <si>
    <t>National Association of Veteran Program Administrators</t>
  </si>
  <si>
    <t>Josie Adams</t>
  </si>
  <si>
    <t>PO Box 40010</t>
  </si>
  <si>
    <t xml:space="preserve">48901-7210                                                                    </t>
  </si>
  <si>
    <t>Christian Copyright Licensing International</t>
  </si>
  <si>
    <t>PO Box 6729</t>
  </si>
  <si>
    <t xml:space="preserve">97228-6729                                                                                          </t>
  </si>
  <si>
    <t>DK Agencies (P) Ltd</t>
  </si>
  <si>
    <t>A/15-17 DK Avenue</t>
  </si>
  <si>
    <t>Mohan Garden Najafgarh Rd 110-059</t>
  </si>
  <si>
    <t>New Delhi</t>
  </si>
  <si>
    <t>American Republic</t>
  </si>
  <si>
    <t>PO Box 1</t>
  </si>
  <si>
    <t xml:space="preserve">50306-0001                                                                                                                     </t>
  </si>
  <si>
    <t>Circuit Court of St Louis City</t>
  </si>
  <si>
    <t>Civil Courts Bldg</t>
  </si>
  <si>
    <t>10 N Tucker Blvd</t>
  </si>
  <si>
    <t xml:space="preserve">63101-2044                                                                              </t>
  </si>
  <si>
    <t>American Surgical Association</t>
  </si>
  <si>
    <t>500 Cummings Ctr Ste 4400</t>
  </si>
  <si>
    <t xml:space="preserve">01915-6518                                                                                           </t>
  </si>
  <si>
    <t>Henry Clay High School</t>
  </si>
  <si>
    <t>Attn: Bonnie W Barnes</t>
  </si>
  <si>
    <t>2100 Fontaine Rd</t>
  </si>
  <si>
    <t xml:space="preserve">40502-2099                                                                                    </t>
  </si>
  <si>
    <t>TriLiteral LLC</t>
  </si>
  <si>
    <t>100 Maple Ridge Dr</t>
  </si>
  <si>
    <t>Cumberland</t>
  </si>
  <si>
    <t xml:space="preserve">02864-1769                                                                                                              </t>
  </si>
  <si>
    <t>Medical Board of California</t>
  </si>
  <si>
    <t>2005 Evergreen St Ste 1200</t>
  </si>
  <si>
    <t xml:space="preserve">95815-5401                                                                                         </t>
  </si>
  <si>
    <t>Bellarmine House</t>
  </si>
  <si>
    <t>c/o Jon Sobrino Sj</t>
  </si>
  <si>
    <t>3737 Westminster Pl</t>
  </si>
  <si>
    <t xml:space="preserve">63108-3407                                                                                        </t>
  </si>
  <si>
    <t>Arnold P Gold Foundation</t>
  </si>
  <si>
    <t>619 E Palisade Ave Ste 5</t>
  </si>
  <si>
    <t>Englewood Cliffs</t>
  </si>
  <si>
    <t xml:space="preserve">07632-1834                                                                                        </t>
  </si>
  <si>
    <t>Greensfelder Hemker &amp; Gale PC</t>
  </si>
  <si>
    <t>10 S Broadway Ste 2000</t>
  </si>
  <si>
    <t xml:space="preserve">63102-1747                                                                                          </t>
  </si>
  <si>
    <t>Central Methodist University</t>
  </si>
  <si>
    <t>James C Denney Jr Career Development Center</t>
  </si>
  <si>
    <t>James C Denney Jr Career</t>
  </si>
  <si>
    <t>411 Central Methodist Sq Ste 1</t>
  </si>
  <si>
    <t>Fayette</t>
  </si>
  <si>
    <t xml:space="preserve">65248-1198                    </t>
  </si>
  <si>
    <t>Tueth Keeney Cooper Mohan &amp; Jackstadt PC</t>
  </si>
  <si>
    <t>34 N Meramec Ave Ste 600</t>
  </si>
  <si>
    <t xml:space="preserve">63105-3953                                                                             </t>
  </si>
  <si>
    <t>Environmental Systems Research Institute Inc</t>
  </si>
  <si>
    <t>dba ESRI</t>
  </si>
  <si>
    <t>File 54630</t>
  </si>
  <si>
    <t xml:space="preserve">90074-0001                                                                               </t>
  </si>
  <si>
    <t>US Department of Labor</t>
  </si>
  <si>
    <t>Erisa Civil Penalties</t>
  </si>
  <si>
    <t>PO Box 71360</t>
  </si>
  <si>
    <t xml:space="preserve">19176-1360                                                                                     </t>
  </si>
  <si>
    <t>Kansas State University</t>
  </si>
  <si>
    <t>Ksu Polytechnic</t>
  </si>
  <si>
    <t>2310 Centennial Rd</t>
  </si>
  <si>
    <t>Salina</t>
  </si>
  <si>
    <t xml:space="preserve">67401-8196                                                                                          </t>
  </si>
  <si>
    <t>Physician Assistant Education Assn</t>
  </si>
  <si>
    <t>655 K St NW Ste 700</t>
  </si>
  <si>
    <t xml:space="preserve">20001-2399                                                                                         </t>
  </si>
  <si>
    <t>Urban League of Metropolitan St Louis</t>
  </si>
  <si>
    <t>Special Events</t>
  </si>
  <si>
    <t>3701 Grandel Sq</t>
  </si>
  <si>
    <t xml:space="preserve">63108-3627                                                                           </t>
  </si>
  <si>
    <t>TSV Industries Inc</t>
  </si>
  <si>
    <t>1309 Kiefer Bluffs Dr</t>
  </si>
  <si>
    <t xml:space="preserve">63021-8222                                                                                                          </t>
  </si>
  <si>
    <t>St Louis Derm Journal Club</t>
  </si>
  <si>
    <t>1755 S Grand Blvd Fl 4</t>
  </si>
  <si>
    <t xml:space="preserve">63104-1540                                                                                             </t>
  </si>
  <si>
    <t>PPD Development LP</t>
  </si>
  <si>
    <t>929 N Front St</t>
  </si>
  <si>
    <t xml:space="preserve">28401-3331                                                                                                              </t>
  </si>
  <si>
    <t>American Red Cross St Louis Area Chapter</t>
  </si>
  <si>
    <t>PO Box 410500</t>
  </si>
  <si>
    <t xml:space="preserve">28241-0500                                                                                          </t>
  </si>
  <si>
    <t>Healthlink Inc</t>
  </si>
  <si>
    <t>1831 Chestnut St</t>
  </si>
  <si>
    <t xml:space="preserve">63103-2275                                                                                             </t>
  </si>
  <si>
    <t>Barnes and Noble Education Inc</t>
  </si>
  <si>
    <t>Accounts Receivable Dept</t>
  </si>
  <si>
    <t>PO Box 823660</t>
  </si>
  <si>
    <t xml:space="preserve">19182-0001                                                                         </t>
  </si>
  <si>
    <t>NACADA</t>
  </si>
  <si>
    <t>Nacada Membership</t>
  </si>
  <si>
    <t xml:space="preserve">66502-2912                                                                                               </t>
  </si>
  <si>
    <t>Six Flags Entertainment Corporation</t>
  </si>
  <si>
    <t>Six Flags St Louis LLC</t>
  </si>
  <si>
    <t>26979 Network Pl</t>
  </si>
  <si>
    <t xml:space="preserve">60673-0001                                                                        </t>
  </si>
  <si>
    <t>Midwest Association of Student Financial Aid Administrators</t>
  </si>
  <si>
    <t>1491 Polaris Pkwy Apt 27192</t>
  </si>
  <si>
    <t xml:space="preserve">43240-2041                                                          </t>
  </si>
  <si>
    <t>National Association of College and University Attorneys</t>
  </si>
  <si>
    <t>1 Dupont Cir NW Ste 620</t>
  </si>
  <si>
    <t xml:space="preserve">20036-1134                                                               </t>
  </si>
  <si>
    <t>YMCA of Greater St Louis</t>
  </si>
  <si>
    <t>Attn Lisa Flowers</t>
  </si>
  <si>
    <t>326 S 21st St Fl 4</t>
  </si>
  <si>
    <t>Gateway Region Ymca</t>
  </si>
  <si>
    <t xml:space="preserve">63103-2267                                                               </t>
  </si>
  <si>
    <t>American Association of Colleges of Nursing</t>
  </si>
  <si>
    <t>Commission On Collegiate Nursing Education</t>
  </si>
  <si>
    <t>PO Box 418682</t>
  </si>
  <si>
    <t xml:space="preserve">02241-0001                                                </t>
  </si>
  <si>
    <t>Park Central Development Corporation</t>
  </si>
  <si>
    <t>4512 Manchester Ave Ste 100</t>
  </si>
  <si>
    <t xml:space="preserve">63110-2100                                                                              </t>
  </si>
  <si>
    <t>Rose-Hulman Institute of Technology</t>
  </si>
  <si>
    <t>Attn Emily Secuskie</t>
  </si>
  <si>
    <t>5500 Wabash Ave Apt 21</t>
  </si>
  <si>
    <t xml:space="preserve">47803-3920                                                                 </t>
  </si>
  <si>
    <t>Local #148 IUOE</t>
  </si>
  <si>
    <t>11000 Lin Valle Dr</t>
  </si>
  <si>
    <t xml:space="preserve">63123-7215                                                                                                            </t>
  </si>
  <si>
    <t>Association of Professors of Gyn-OB</t>
  </si>
  <si>
    <t>2130 Priest Bridge Dr Ste 7</t>
  </si>
  <si>
    <t xml:space="preserve">21114-2457                                                                                   </t>
  </si>
  <si>
    <t>National Resident Matching Program</t>
  </si>
  <si>
    <t>2121 K St NW Ste 1000</t>
  </si>
  <si>
    <t xml:space="preserve">20037-1890                                                                                       </t>
  </si>
  <si>
    <t>Gibault Catholic High School</t>
  </si>
  <si>
    <t>Attn Russell Hart</t>
  </si>
  <si>
    <t>501 Columbia Ave</t>
  </si>
  <si>
    <t>Waterloo</t>
  </si>
  <si>
    <t xml:space="preserve">62298-1097                                                                                   </t>
  </si>
  <si>
    <t>Parkway School District</t>
  </si>
  <si>
    <t>455 N Woods Mill Rd</t>
  </si>
  <si>
    <t xml:space="preserve">63017-3385                                                                                </t>
  </si>
  <si>
    <t>Elegant Ensembles</t>
  </si>
  <si>
    <t>1157 Elbring Dr</t>
  </si>
  <si>
    <t xml:space="preserve">63132-3209                                                                                                             </t>
  </si>
  <si>
    <t>Kaiser Foundation Health Plan</t>
  </si>
  <si>
    <t>Regional Claims Recovery</t>
  </si>
  <si>
    <t>PO Box 745820</t>
  </si>
  <si>
    <t xml:space="preserve">90074-0001                                                                           </t>
  </si>
  <si>
    <t>Beta Beta Beta Biological Society</t>
  </si>
  <si>
    <t>University Of North Alabama</t>
  </si>
  <si>
    <t>Una Box 5079</t>
  </si>
  <si>
    <t>Florence</t>
  </si>
  <si>
    <t xml:space="preserve">35632-0001                                                                        </t>
  </si>
  <si>
    <t>TLC Interpreting Services Inc</t>
  </si>
  <si>
    <t>Torri Ryder</t>
  </si>
  <si>
    <t>10738 Calvey Hills Rd</t>
  </si>
  <si>
    <t>Catawissa</t>
  </si>
  <si>
    <t xml:space="preserve">63015-2206                                                                                  </t>
  </si>
  <si>
    <t>Journal of Rheumatology</t>
  </si>
  <si>
    <t>365 Bloor St E Ste 901</t>
  </si>
  <si>
    <t xml:space="preserve">M4W 3L4                                                                                                       </t>
  </si>
  <si>
    <t>Assn of University Programs in Health Administration</t>
  </si>
  <si>
    <t>1730 M St NW Ste 407</t>
  </si>
  <si>
    <t xml:space="preserve">20036-4565                                                                      </t>
  </si>
  <si>
    <t>Illinois Public Aid</t>
  </si>
  <si>
    <t xml:space="preserve">62794-9101                                                                                                              </t>
  </si>
  <si>
    <t>Amalivre</t>
  </si>
  <si>
    <t>62 Avenue De Suffren</t>
  </si>
  <si>
    <t>American Psychological Assn</t>
  </si>
  <si>
    <t>PO Box 419868</t>
  </si>
  <si>
    <t xml:space="preserve">02241-9868                                                                                                          </t>
  </si>
  <si>
    <t>Inverness Group Inc</t>
  </si>
  <si>
    <t>PMB 266</t>
  </si>
  <si>
    <t>15009 Manchester Rd</t>
  </si>
  <si>
    <t xml:space="preserve">63011-4626                                                                                                    </t>
  </si>
  <si>
    <t>Matthews Medical and Scientific Books Inc</t>
  </si>
  <si>
    <t>PO Box 776447</t>
  </si>
  <si>
    <t xml:space="preserve">60677-6447                                                                                           </t>
  </si>
  <si>
    <t>St Louis Men's Group Against Cancer</t>
  </si>
  <si>
    <t>2155 Woodson Rd</t>
  </si>
  <si>
    <t xml:space="preserve">63114-5672                                                                                           </t>
  </si>
  <si>
    <t>Department of Veterans Affairs</t>
  </si>
  <si>
    <t>Omaha Va Medical Center</t>
  </si>
  <si>
    <t>4101 Woolworth Ave</t>
  </si>
  <si>
    <t xml:space="preserve">68105-1850                                                                            </t>
  </si>
  <si>
    <t>National Commission on Certification of Physician Assistants</t>
  </si>
  <si>
    <t>12000 Findley Rd Ste 100</t>
  </si>
  <si>
    <t xml:space="preserve">30097-1484                                                              </t>
  </si>
  <si>
    <t>American Society for Engineering Education</t>
  </si>
  <si>
    <t>PO Box 222822</t>
  </si>
  <si>
    <t>Chantilly</t>
  </si>
  <si>
    <t xml:space="preserve">20153-2822                                                                                        </t>
  </si>
  <si>
    <t>National Association for College Admission Counseling</t>
  </si>
  <si>
    <t>1050 N Highland St Ste 400</t>
  </si>
  <si>
    <t xml:space="preserve">22201-2197                                                                </t>
  </si>
  <si>
    <t>MHA Management Services Corp</t>
  </si>
  <si>
    <t>dba Background Check Advantage</t>
  </si>
  <si>
    <t>PO Box 6766</t>
  </si>
  <si>
    <t xml:space="preserve">65102-6766                                                                     </t>
  </si>
  <si>
    <t>United States Postal Service</t>
  </si>
  <si>
    <t>Eagan Accounting Services</t>
  </si>
  <si>
    <t>2825 Lone Oak Pkwy</t>
  </si>
  <si>
    <t>Eagan</t>
  </si>
  <si>
    <t xml:space="preserve">55121-1551                                                                            </t>
  </si>
  <si>
    <t>American Academy of Emergency Medicine</t>
  </si>
  <si>
    <t xml:space="preserve">53202-3800                                                                                  </t>
  </si>
  <si>
    <t>ITW Food Equipment Group LLC</t>
  </si>
  <si>
    <t>Hobart Service</t>
  </si>
  <si>
    <t>PO Box 2517</t>
  </si>
  <si>
    <t xml:space="preserve">60132-0001                                                                                       </t>
  </si>
  <si>
    <t>Springer Science and Business Media LLC</t>
  </si>
  <si>
    <t>PO Box 13301</t>
  </si>
  <si>
    <t xml:space="preserve">07101-3301                                                                                               </t>
  </si>
  <si>
    <t>English Institute</t>
  </si>
  <si>
    <t>Conference Coordinator At Yale University</t>
  </si>
  <si>
    <t>Conference Coordinator At Yale</t>
  </si>
  <si>
    <t>53 Wall St</t>
  </si>
  <si>
    <t xml:space="preserve">06511-8916                                             </t>
  </si>
  <si>
    <t>San Francisco Baseball Associates LP</t>
  </si>
  <si>
    <t>San Francisco Giants</t>
  </si>
  <si>
    <t>24 Willie Mays Plz</t>
  </si>
  <si>
    <t xml:space="preserve">94107-2199                                                                 </t>
  </si>
  <si>
    <t>Veritext Corp</t>
  </si>
  <si>
    <t>Veritext St Louis</t>
  </si>
  <si>
    <t>PO Box 71303</t>
  </si>
  <si>
    <t xml:space="preserve">60694-0001                                                                                                       </t>
  </si>
  <si>
    <t>Document Copy Service Inc.</t>
  </si>
  <si>
    <t>701 Market St Ste 125</t>
  </si>
  <si>
    <t xml:space="preserve">63101-1860                                                                                              </t>
  </si>
  <si>
    <t>Higher Education Coordinating Council of Metro St Louis</t>
  </si>
  <si>
    <t>Higher Education Consortium of Metropolitan St. Louis</t>
  </si>
  <si>
    <t>Higher Education Consortium of</t>
  </si>
  <si>
    <t>734 W Port Plz Ste 273</t>
  </si>
  <si>
    <t xml:space="preserve">Saint Louis_x000D_
</t>
  </si>
  <si>
    <t xml:space="preserve">63146-3000                                                                                                                                                                                     </t>
  </si>
  <si>
    <t>Institute for Theological Encounter with Science &amp; Technolog</t>
  </si>
  <si>
    <t>20 Archbishop May Dr</t>
  </si>
  <si>
    <t xml:space="preserve">63119-5738                                                             </t>
  </si>
  <si>
    <t>Association of Catholic Colleges and Universities</t>
  </si>
  <si>
    <t>Collegium Accu</t>
  </si>
  <si>
    <t>Attn Joyce Gawlik</t>
  </si>
  <si>
    <t xml:space="preserve">01610-2322                                                   </t>
  </si>
  <si>
    <t>Riverton High School- Capital Area Education Fair</t>
  </si>
  <si>
    <t>Attn: Nancy Penk</t>
  </si>
  <si>
    <t>841 N 3rd St</t>
  </si>
  <si>
    <t>Riverton</t>
  </si>
  <si>
    <t xml:space="preserve">62561-8052                                                                   </t>
  </si>
  <si>
    <t>Texas Assn of Collegiate Registrars and Admissions Officers</t>
  </si>
  <si>
    <t>555 Republic Dr Ste 200</t>
  </si>
  <si>
    <t xml:space="preserve">75074-5469                                                                 </t>
  </si>
  <si>
    <t>Missouri Professors of Educational Administration</t>
  </si>
  <si>
    <t>1703 Dunhill Way</t>
  </si>
  <si>
    <t xml:space="preserve">65203-6374                                                                               </t>
  </si>
  <si>
    <t>Ingeniux</t>
  </si>
  <si>
    <t>1601 2nd Ave Ste 1010</t>
  </si>
  <si>
    <t xml:space="preserve">98101-3530                                                                                                                    </t>
  </si>
  <si>
    <t>Indiana University of Pennsylvania</t>
  </si>
  <si>
    <t>Political Science Dept</t>
  </si>
  <si>
    <t>Dr. Gwen Torges Pre Law Prg</t>
  </si>
  <si>
    <t>Indiana</t>
  </si>
  <si>
    <t xml:space="preserve">15705-0001                                                              </t>
  </si>
  <si>
    <t>University Council for Educational Administration</t>
  </si>
  <si>
    <t>Lisa Wright Cpa LLC</t>
  </si>
  <si>
    <t>2001 Corona Rd Ste 309</t>
  </si>
  <si>
    <t xml:space="preserve">65203-5924                                                      </t>
  </si>
  <si>
    <t>AT Still University of Health Science</t>
  </si>
  <si>
    <t>Attn: Finance Office</t>
  </si>
  <si>
    <t>800 W Jefferson St</t>
  </si>
  <si>
    <t xml:space="preserve">63501-1443                                                                   </t>
  </si>
  <si>
    <t>Missouri Chapter American College of Surgeons</t>
  </si>
  <si>
    <t>2101 W Broadway</t>
  </si>
  <si>
    <t>Ste 103 PMB 375</t>
  </si>
  <si>
    <t xml:space="preserve">65203-7632                                                                     </t>
  </si>
  <si>
    <t>Humana Healthcare</t>
  </si>
  <si>
    <t>PO Box 14603</t>
  </si>
  <si>
    <t xml:space="preserve">40512-4603                                                                                                                  </t>
  </si>
  <si>
    <t>Ames Foundation</t>
  </si>
  <si>
    <t>Selden Society</t>
  </si>
  <si>
    <t>3315 Daniel Ave</t>
  </si>
  <si>
    <t xml:space="preserve">75205-1439                                                                                                      </t>
  </si>
  <si>
    <t>Association of Program Directors in Vascular Surgery</t>
  </si>
  <si>
    <t>35313 Eagle Way</t>
  </si>
  <si>
    <t xml:space="preserve">60678-0353                                                                              </t>
  </si>
  <si>
    <t>Academy of International Business</t>
  </si>
  <si>
    <t>Eppley Center</t>
  </si>
  <si>
    <t>645 N Shaw Ln Rm 7</t>
  </si>
  <si>
    <t xml:space="preserve">48824-4478                                                                            </t>
  </si>
  <si>
    <t>Chapter 13 Trustee</t>
  </si>
  <si>
    <t>c/o Russell C Simon</t>
  </si>
  <si>
    <t>PO Box 1898</t>
  </si>
  <si>
    <t xml:space="preserve">38101-1898                                                                                                 </t>
  </si>
  <si>
    <t>College of the Holy Cross</t>
  </si>
  <si>
    <t xml:space="preserve">01610-2395                                                                                                          </t>
  </si>
  <si>
    <t>American Association of Colleges for Teacher Education</t>
  </si>
  <si>
    <t>Registration</t>
  </si>
  <si>
    <t>1307 New York Ave NW Ste 300</t>
  </si>
  <si>
    <t xml:space="preserve">20005-4721                                                </t>
  </si>
  <si>
    <t>Moolah Theatre Company LLC</t>
  </si>
  <si>
    <t>Moolah Theatre And Lounge</t>
  </si>
  <si>
    <t>3821 Lindell Blvd Ste 1</t>
  </si>
  <si>
    <t xml:space="preserve">63108-3473                                                                   </t>
  </si>
  <si>
    <t>Bullfrog Films Inc</t>
  </si>
  <si>
    <t>Oley</t>
  </si>
  <si>
    <t xml:space="preserve">19547-0149                                                                                                                        </t>
  </si>
  <si>
    <t>Atlantic 10 Conference</t>
  </si>
  <si>
    <t xml:space="preserve">84111-1346                                                                                          </t>
  </si>
  <si>
    <t>Stanley Convergent Security Solutions Inc</t>
  </si>
  <si>
    <t>Dept Ch 10651</t>
  </si>
  <si>
    <t xml:space="preserve">60055-0001                                                                                          </t>
  </si>
  <si>
    <t>AmeriGas Propane LP</t>
  </si>
  <si>
    <t>PO Box 660288</t>
  </si>
  <si>
    <t xml:space="preserve">75266-0288                                                                                                                  </t>
  </si>
  <si>
    <t>Reorganized School District #7 Jackson County</t>
  </si>
  <si>
    <t>Lee'S Summit High School</t>
  </si>
  <si>
    <t>400 SE Blue Pkwy</t>
  </si>
  <si>
    <t>Lees Summit</t>
  </si>
  <si>
    <t xml:space="preserve">64063-4352                                                        </t>
  </si>
  <si>
    <t>Option Care Enterprises Inc</t>
  </si>
  <si>
    <t>PO Box 660535</t>
  </si>
  <si>
    <t xml:space="preserve">75266-0535                                                                                                          </t>
  </si>
  <si>
    <t>Ste Genevieve School District RIII</t>
  </si>
  <si>
    <t>375 N 5th St</t>
  </si>
  <si>
    <t>Sainte Genevieve</t>
  </si>
  <si>
    <t xml:space="preserve">63670-1249                                                                                          </t>
  </si>
  <si>
    <t>Illinois Medical Licensing Board</t>
  </si>
  <si>
    <t>320 W Washington</t>
  </si>
  <si>
    <t>Dept Of</t>
  </si>
  <si>
    <t xml:space="preserve">62786-0002                                                                                      </t>
  </si>
  <si>
    <t>Izard County Collector</t>
  </si>
  <si>
    <t>Marilyn Downing</t>
  </si>
  <si>
    <t>PO Box 490</t>
  </si>
  <si>
    <t>Melbourne</t>
  </si>
  <si>
    <t xml:space="preserve">72556-0490                                                                                                </t>
  </si>
  <si>
    <t>Lindenwood University</t>
  </si>
  <si>
    <t>209 S Kingshighway St</t>
  </si>
  <si>
    <t xml:space="preserve">63301-1695                                                                                                 </t>
  </si>
  <si>
    <t>Web-TPA</t>
  </si>
  <si>
    <t>PO Box 1928</t>
  </si>
  <si>
    <t>Grapevine</t>
  </si>
  <si>
    <t xml:space="preserve">76099-1928                                                                                                                             </t>
  </si>
  <si>
    <t>Boeing Company Contributions Program</t>
  </si>
  <si>
    <t>Matching Gift Program</t>
  </si>
  <si>
    <t>PO Box 3723</t>
  </si>
  <si>
    <t xml:space="preserve">08543-3723                                                                           </t>
  </si>
  <si>
    <t>Informa UK Ltd</t>
  </si>
  <si>
    <t>C/O Taylor &amp; Francis</t>
  </si>
  <si>
    <t>PO Box 416566</t>
  </si>
  <si>
    <t xml:space="preserve">02241-0001                                                                                                   </t>
  </si>
  <si>
    <t>Karen House Catholic Worker</t>
  </si>
  <si>
    <t>1840 Hogan St</t>
  </si>
  <si>
    <t xml:space="preserve">63106-3016                                                                                                     </t>
  </si>
  <si>
    <t>National Assoc of Independent Colleges and Universities</t>
  </si>
  <si>
    <t>Dept 200</t>
  </si>
  <si>
    <t xml:space="preserve">20042-0001                                                                               </t>
  </si>
  <si>
    <t>NA Publishing Inc</t>
  </si>
  <si>
    <t>PO Box 674928</t>
  </si>
  <si>
    <t xml:space="preserve">48267-4928                                                                                                                   </t>
  </si>
  <si>
    <t>Toky Branding and Design Inc</t>
  </si>
  <si>
    <t>3001 Locust St Fl 2</t>
  </si>
  <si>
    <t xml:space="preserve">63103-1328                                                                                              </t>
  </si>
  <si>
    <t>Public Relations Society of America Inc</t>
  </si>
  <si>
    <t xml:space="preserve">10003-7032                                                                                 </t>
  </si>
  <si>
    <t>Alzheimers Disease and Related Disorders Association Inc</t>
  </si>
  <si>
    <t>Alzheimers Association</t>
  </si>
  <si>
    <t>9370 Olive Blvd</t>
  </si>
  <si>
    <t xml:space="preserve">63132-3214                                                </t>
  </si>
  <si>
    <t>Loomis Company</t>
  </si>
  <si>
    <t>Independence American Insurance Co</t>
  </si>
  <si>
    <t>Independence American</t>
  </si>
  <si>
    <t>PO Box 13668</t>
  </si>
  <si>
    <t>Reading</t>
  </si>
  <si>
    <t xml:space="preserve">19612-3668                                                                </t>
  </si>
  <si>
    <t>Association of Missouri Charter Schools</t>
  </si>
  <si>
    <t>Dba Missouri Charter Public School Association</t>
  </si>
  <si>
    <t>Dba Missouri Charter Public</t>
  </si>
  <si>
    <t>1300 Papin St</t>
  </si>
  <si>
    <t xml:space="preserve">63103-3131                </t>
  </si>
  <si>
    <t>Renal Pathology Society</t>
  </si>
  <si>
    <t>c/o Lois Arend</t>
  </si>
  <si>
    <t>600 N Wolfe St</t>
  </si>
  <si>
    <t xml:space="preserve">21287-0005                                                                                            </t>
  </si>
  <si>
    <t>Librairie Philosophique J. Vrin</t>
  </si>
  <si>
    <t>6 place de la Sorbonne</t>
  </si>
  <si>
    <t>National Assn of Children's Hospitals &amp; Related Institutions</t>
  </si>
  <si>
    <t>PO Box 79311</t>
  </si>
  <si>
    <t xml:space="preserve">21279-0311                                                                       </t>
  </si>
  <si>
    <t>WellCare Health Plan</t>
  </si>
  <si>
    <t>Claim Refunds</t>
  </si>
  <si>
    <t xml:space="preserve">19178-0001                                                                                           </t>
  </si>
  <si>
    <t>City of Brentwood</t>
  </si>
  <si>
    <t>2505 S Brentwood Blvd</t>
  </si>
  <si>
    <t xml:space="preserve">63144-2308                                                                                     </t>
  </si>
  <si>
    <t>Williamson County Schools</t>
  </si>
  <si>
    <t>Centennial High School</t>
  </si>
  <si>
    <t>5050 Mallory Ln</t>
  </si>
  <si>
    <t xml:space="preserve">37067-1398                                                                                  </t>
  </si>
  <si>
    <t>Incorporated Council of Law Reporting for Ireland</t>
  </si>
  <si>
    <t>Law Library Four Courts</t>
  </si>
  <si>
    <t>Dublin</t>
  </si>
  <si>
    <t>Southern Illinois Healthcare</t>
  </si>
  <si>
    <t>PO Box 7997</t>
  </si>
  <si>
    <t>Westchester</t>
  </si>
  <si>
    <t xml:space="preserve">60154-7997                                                                                                      </t>
  </si>
  <si>
    <t>Circuit Court St Louis County</t>
  </si>
  <si>
    <t>10 North Tucker</t>
  </si>
  <si>
    <t>St Louis</t>
  </si>
  <si>
    <t>MO Province of the Society of Jesus</t>
  </si>
  <si>
    <t>4511 W Pine Blvd</t>
  </si>
  <si>
    <t xml:space="preserve">63108-2109                                                                                          </t>
  </si>
  <si>
    <t>John Carroll University</t>
  </si>
  <si>
    <t>1 John Carroll Blvd</t>
  </si>
  <si>
    <t xml:space="preserve">44118-4581                                                                                                     </t>
  </si>
  <si>
    <t>Lilly Fellows Program</t>
  </si>
  <si>
    <t>1320 Chapel Dr</t>
  </si>
  <si>
    <t xml:space="preserve">46383-4525                                                                                                           </t>
  </si>
  <si>
    <t>St Louis Business Journal Inc</t>
  </si>
  <si>
    <t>PO Box 36919</t>
  </si>
  <si>
    <t xml:space="preserve">28236-6919                                                                                                      </t>
  </si>
  <si>
    <t>National Merit Scholarship Corp</t>
  </si>
  <si>
    <t>PO Box 99389</t>
  </si>
  <si>
    <t xml:space="preserve">60693-9389                                                                                                      </t>
  </si>
  <si>
    <t>University of Washington</t>
  </si>
  <si>
    <t>Gallagher Law Library</t>
  </si>
  <si>
    <t>Box 353025</t>
  </si>
  <si>
    <t xml:space="preserve">98195-0001                                                                                          </t>
  </si>
  <si>
    <t>Beckman Coulter Inc</t>
  </si>
  <si>
    <t>Attn: Patricia Garcia</t>
  </si>
  <si>
    <t>200 S Kraemer Blvd PO Box 8000</t>
  </si>
  <si>
    <t>Mail Station A2.SW.06</t>
  </si>
  <si>
    <t>Brea</t>
  </si>
  <si>
    <t xml:space="preserve">92821-6208                                                         </t>
  </si>
  <si>
    <t>Moody's Investors Service Inc</t>
  </si>
  <si>
    <t>PO Box 102597</t>
  </si>
  <si>
    <t xml:space="preserve">30368-2597                                                                                                       </t>
  </si>
  <si>
    <t>Gregory F X Daly</t>
  </si>
  <si>
    <t>Collector of Revenue</t>
  </si>
  <si>
    <t>PO Box 66787</t>
  </si>
  <si>
    <t xml:space="preserve">63166-6787                                                                                             </t>
  </si>
  <si>
    <t>Wilco Life Insurance Co</t>
  </si>
  <si>
    <t>PO Box 71214</t>
  </si>
  <si>
    <t xml:space="preserve">28272-1214                                                                                                            </t>
  </si>
  <si>
    <t>Medtox Laboratories Inc</t>
  </si>
  <si>
    <t>PO Box 8107</t>
  </si>
  <si>
    <t xml:space="preserve">27216-8107                                                                                                            </t>
  </si>
  <si>
    <t>State of Oklahoma</t>
  </si>
  <si>
    <t>Oklahoma Centralized Support Registry</t>
  </si>
  <si>
    <t>Oklahoma Centralized Support</t>
  </si>
  <si>
    <t>PO Box 268809</t>
  </si>
  <si>
    <t xml:space="preserve">73126-8809                                            </t>
  </si>
  <si>
    <t>American Society of Anesthesiologists</t>
  </si>
  <si>
    <t>1061 American Ln</t>
  </si>
  <si>
    <t xml:space="preserve">60173-4973                                                                                         </t>
  </si>
  <si>
    <t>Oxford University Press</t>
  </si>
  <si>
    <t>PO Box 935696</t>
  </si>
  <si>
    <t xml:space="preserve">31193-5696                                                                                                             </t>
  </si>
  <si>
    <t>National Association of Schools of Art &amp; Design</t>
  </si>
  <si>
    <t>11250 Roger Bacon Dr Ste 21</t>
  </si>
  <si>
    <t xml:space="preserve">20190-5248                                                                        </t>
  </si>
  <si>
    <t>School District 203</t>
  </si>
  <si>
    <t>O'Fallon Township High School Distric No 203</t>
  </si>
  <si>
    <t>600 S Smiley St</t>
  </si>
  <si>
    <t xml:space="preserve">62269-2316                                                                  </t>
  </si>
  <si>
    <t>Kirkwood School District</t>
  </si>
  <si>
    <t>11289 Manchester Rd</t>
  </si>
  <si>
    <t xml:space="preserve">63122-1197                                                                                                  </t>
  </si>
  <si>
    <t>Baylor University</t>
  </si>
  <si>
    <t>1 Bear Pl Unit 97244</t>
  </si>
  <si>
    <t>Waco</t>
  </si>
  <si>
    <t xml:space="preserve">76798-7224                                                                                                               </t>
  </si>
  <si>
    <t>Ignatian Solidarity Network</t>
  </si>
  <si>
    <t>University Heights</t>
  </si>
  <si>
    <t xml:space="preserve">44118-4538                                                                                        </t>
  </si>
  <si>
    <t>Beyond Housing</t>
  </si>
  <si>
    <t>6506 Wright Way</t>
  </si>
  <si>
    <t xml:space="preserve">63121-3209                                                                                                                </t>
  </si>
  <si>
    <t>Belleville School District</t>
  </si>
  <si>
    <t>105 W A St</t>
  </si>
  <si>
    <t xml:space="preserve">62220-1392                                                                                                          </t>
  </si>
  <si>
    <t>Summersville R-11 School</t>
  </si>
  <si>
    <t>PO Box 198</t>
  </si>
  <si>
    <t>Summersville</t>
  </si>
  <si>
    <t xml:space="preserve">65571-0198                                                                                                          </t>
  </si>
  <si>
    <t>Hillsborough County School District</t>
  </si>
  <si>
    <t>Chamberlain High School</t>
  </si>
  <si>
    <t>9401 N Boulevard</t>
  </si>
  <si>
    <t xml:space="preserve">33612-7839                                                                         </t>
  </si>
  <si>
    <t>Administrative Concepts Inc.</t>
  </si>
  <si>
    <t>994 Old Eagle School Rd</t>
  </si>
  <si>
    <t>Ste 1005</t>
  </si>
  <si>
    <t xml:space="preserve">19087-1802                                                                                        </t>
  </si>
  <si>
    <t>Schilling Consulting LLC</t>
  </si>
  <si>
    <t>Attn: Paul Schilling</t>
  </si>
  <si>
    <t>713 Amnicon Trl</t>
  </si>
  <si>
    <t xml:space="preserve">53718-3231                                                                                      </t>
  </si>
  <si>
    <t>MO KAN NE Chapter of Mid America Assn of EOPP</t>
  </si>
  <si>
    <t>102 Holton Hall</t>
  </si>
  <si>
    <t xml:space="preserve">66506-1309                                                            </t>
  </si>
  <si>
    <t>Gusdorf Law Firm LLC</t>
  </si>
  <si>
    <t>9666 Olive Blvd Ste 211</t>
  </si>
  <si>
    <t xml:space="preserve">63132-3012                                                                                                  </t>
  </si>
  <si>
    <t>Best Transportation Inc</t>
  </si>
  <si>
    <t>PO Box 419161</t>
  </si>
  <si>
    <t xml:space="preserve">63141-9161                                                                                                         </t>
  </si>
  <si>
    <t>The Royal Society</t>
  </si>
  <si>
    <t>6-9 Carlton House Terrace</t>
  </si>
  <si>
    <t xml:space="preserve">SW1Y 5AG                                                                                                            </t>
  </si>
  <si>
    <t>Shawnee Administrative Service</t>
  </si>
  <si>
    <t>204 E Oak St</t>
  </si>
  <si>
    <t>West Frankfort</t>
  </si>
  <si>
    <t xml:space="preserve">62896-2742                                                                                                </t>
  </si>
  <si>
    <t>Health Literacy Media</t>
  </si>
  <si>
    <t>911 Washington Ave Ste 625</t>
  </si>
  <si>
    <t xml:space="preserve">63101-1262                                                                                              </t>
  </si>
  <si>
    <t>Commonwealth of Kentucky</t>
  </si>
  <si>
    <t>Alison Lundergan Grimes</t>
  </si>
  <si>
    <t>PO Box 1150</t>
  </si>
  <si>
    <t>Frankfort</t>
  </si>
  <si>
    <t xml:space="preserve">40602-1150                                                                                     </t>
  </si>
  <si>
    <t>Metro West Anesthesia Group Inc</t>
  </si>
  <si>
    <t>400 S Woods Mill Rd Ste 140</t>
  </si>
  <si>
    <t xml:space="preserve">63017-3427                                                                                  </t>
  </si>
  <si>
    <t>State of Alabama</t>
  </si>
  <si>
    <t>Commission On Higher Education</t>
  </si>
  <si>
    <t>100 N Union St Ste 826</t>
  </si>
  <si>
    <t>PO Box 302000</t>
  </si>
  <si>
    <t xml:space="preserve">36104-3725                                                             </t>
  </si>
  <si>
    <t>Springfield Greene County Library District</t>
  </si>
  <si>
    <t>The Library Center</t>
  </si>
  <si>
    <t>4653 S Campbell Ave</t>
  </si>
  <si>
    <t xml:space="preserve">65810-1723                                                              </t>
  </si>
  <si>
    <t>Regents of The University of California Riverside</t>
  </si>
  <si>
    <t>Main Cashiers Office</t>
  </si>
  <si>
    <t>900 University Ave</t>
  </si>
  <si>
    <t>Student Services Bldg Rm 1111</t>
  </si>
  <si>
    <t>Riverside</t>
  </si>
  <si>
    <t xml:space="preserve">92521-0001                           </t>
  </si>
  <si>
    <t>SSM Cancer Care Inc</t>
  </si>
  <si>
    <t>Ste 310</t>
  </si>
  <si>
    <t xml:space="preserve">63132-2938                                                                                           </t>
  </si>
  <si>
    <t>Council on Medical Student Education in Pediatrics</t>
  </si>
  <si>
    <t xml:space="preserve">22101-3906                                                                     </t>
  </si>
  <si>
    <t>Otto Harrassowitz GmbH and Co KG</t>
  </si>
  <si>
    <t>65174 Wiesbaden</t>
  </si>
  <si>
    <t>Allemagne</t>
  </si>
  <si>
    <t>Ambry Genetics Corporation</t>
  </si>
  <si>
    <t>PO Box 51458</t>
  </si>
  <si>
    <t>Ontario</t>
  </si>
  <si>
    <t xml:space="preserve">91761-1048                                                                                                           </t>
  </si>
  <si>
    <t>Family Practice Inquiries Network Consortium</t>
  </si>
  <si>
    <t>401 West Blvd N Ste D</t>
  </si>
  <si>
    <t xml:space="preserve">65203-2600                                                                               </t>
  </si>
  <si>
    <t>Lambda Nu National Honor Society in the Radiologic and</t>
  </si>
  <si>
    <t>Imaging Sciences</t>
  </si>
  <si>
    <t>Arkansas State University</t>
  </si>
  <si>
    <t>PO Box 910</t>
  </si>
  <si>
    <t>State University</t>
  </si>
  <si>
    <t>IHS Global Inc</t>
  </si>
  <si>
    <t>PO Box 847193</t>
  </si>
  <si>
    <t xml:space="preserve">75284-7193                                                                                                                       </t>
  </si>
  <si>
    <t>Regents of the University of California San Francisco</t>
  </si>
  <si>
    <t>Dept of Laboratory Medicine</t>
  </si>
  <si>
    <t>185 Berry St Ste 290</t>
  </si>
  <si>
    <t xml:space="preserve">94107-1773                                       </t>
  </si>
  <si>
    <t>GuideStar USA Inc</t>
  </si>
  <si>
    <t>4801 Courthouse St Ste 220</t>
  </si>
  <si>
    <t>Williamsburg</t>
  </si>
  <si>
    <t xml:space="preserve">23188-2678                                                                                                 </t>
  </si>
  <si>
    <t>CareSTL Health</t>
  </si>
  <si>
    <t>5471 Dr Martin Luther King Dr</t>
  </si>
  <si>
    <t xml:space="preserve">63112-4265                                                                                                  </t>
  </si>
  <si>
    <t>Williams Venker &amp; Sanders LLC</t>
  </si>
  <si>
    <t>100 N Broadway Fl 21</t>
  </si>
  <si>
    <t xml:space="preserve">63102-2728                                                                                            </t>
  </si>
  <si>
    <t>Stinson Leonard Street LLP</t>
  </si>
  <si>
    <t>7700 Forsyth Blvd Ste 1100</t>
  </si>
  <si>
    <t xml:space="preserve">63105-1821                                                                                         </t>
  </si>
  <si>
    <t>Parker Highlander PLLC</t>
  </si>
  <si>
    <t>1120 S Capital Of Texas Hwy</t>
  </si>
  <si>
    <t>Bldg 1-200</t>
  </si>
  <si>
    <t>West Lake Hills</t>
  </si>
  <si>
    <t xml:space="preserve">78746-4809                                                                              </t>
  </si>
  <si>
    <t>Allied National Insurance</t>
  </si>
  <si>
    <t>4551 W 107th St</t>
  </si>
  <si>
    <t>Tiverton High School</t>
  </si>
  <si>
    <t>100 N Brayton Rd</t>
  </si>
  <si>
    <t>Tiverton</t>
  </si>
  <si>
    <t xml:space="preserve">02878-3399                                                                                                            </t>
  </si>
  <si>
    <t>Mercy Health</t>
  </si>
  <si>
    <t>Mercy Specialized Billing</t>
  </si>
  <si>
    <t>PO Box 505125</t>
  </si>
  <si>
    <t xml:space="preserve">63150-0001                                                                                           </t>
  </si>
  <si>
    <t>Tristar Risk Management</t>
  </si>
  <si>
    <t>PO Box 2805</t>
  </si>
  <si>
    <t>Clinton</t>
  </si>
  <si>
    <t xml:space="preserve">52733-2805                                                                                                               </t>
  </si>
  <si>
    <t>Center of Creative Arts</t>
  </si>
  <si>
    <t xml:space="preserve">63130-4314                                                                                                       </t>
  </si>
  <si>
    <t>California Attorneys for Criminal Justice</t>
  </si>
  <si>
    <t>1555 River Park Dr Ste 105</t>
  </si>
  <si>
    <t xml:space="preserve">95815-4603                                                                           </t>
  </si>
  <si>
    <t>Health Smart Benefit Solutions</t>
  </si>
  <si>
    <t>3320 W Market St Ste 100</t>
  </si>
  <si>
    <t>Fairlawn</t>
  </si>
  <si>
    <t xml:space="preserve">44333-3306                                                                                          </t>
  </si>
  <si>
    <t>BioSTL</t>
  </si>
  <si>
    <t>7515 Forsyth Blvd</t>
  </si>
  <si>
    <t xml:space="preserve">63105-3401                                                                                                                      </t>
  </si>
  <si>
    <t>Council for the Accreditation of Educator Preparation</t>
  </si>
  <si>
    <t>Caep</t>
  </si>
  <si>
    <t>1140 19th St NW Ste 400</t>
  </si>
  <si>
    <t xml:space="preserve">20036-6610                                                              </t>
  </si>
  <si>
    <t>Cardinal Glennon Children's Foundation</t>
  </si>
  <si>
    <t>3800 Park Ave</t>
  </si>
  <si>
    <t xml:space="preserve">63110-2514                                                                                          </t>
  </si>
  <si>
    <t>Matthew O'Shea Photography Inc</t>
  </si>
  <si>
    <t>38 Portland Pl</t>
  </si>
  <si>
    <t xml:space="preserve">63108-1242                                                                                                 </t>
  </si>
  <si>
    <t>Little Flower Parish</t>
  </si>
  <si>
    <t>Little Flower Catholic Church</t>
  </si>
  <si>
    <t>1275 Boland Pl</t>
  </si>
  <si>
    <t xml:space="preserve">63117-1459                                                                              </t>
  </si>
  <si>
    <t>Barclays Capital Inc</t>
  </si>
  <si>
    <t>Letters of Credit/Dawn Townsend</t>
  </si>
  <si>
    <t>Letters of Credit/Dawn</t>
  </si>
  <si>
    <t>745 7th Ave</t>
  </si>
  <si>
    <t xml:space="preserve">10019-6801                                                            </t>
  </si>
  <si>
    <t>Overtime Media Inc</t>
  </si>
  <si>
    <t>Rightplay</t>
  </si>
  <si>
    <t>155 Saint Nicholas Ave Ste 2</t>
  </si>
  <si>
    <t xml:space="preserve">11237-4439                                                                                         </t>
  </si>
  <si>
    <t>American Pathology Foundation</t>
  </si>
  <si>
    <t>3462 Eagle Way</t>
  </si>
  <si>
    <t xml:space="preserve">60678-1034                                                                                                      </t>
  </si>
  <si>
    <t>Cole Environmental Inc</t>
  </si>
  <si>
    <t>1105 S 18th St</t>
  </si>
  <si>
    <t xml:space="preserve">63104-2911                                                                                                         </t>
  </si>
  <si>
    <t>Reorganized School District  of Jackson County Missouri</t>
  </si>
  <si>
    <t>1200 SE Adams Dairy Pkwy</t>
  </si>
  <si>
    <t>Blue Springs</t>
  </si>
  <si>
    <t xml:space="preserve">64014-3450                                                             </t>
  </si>
  <si>
    <t>Because I Said I Would</t>
  </si>
  <si>
    <t>20525 Center Ridge Rd Ste 500</t>
  </si>
  <si>
    <t>Rocky River</t>
  </si>
  <si>
    <t xml:space="preserve">44116-3447                                                                                          </t>
  </si>
  <si>
    <t>Group for the Advancement of Doctoral Education</t>
  </si>
  <si>
    <t>In Social Work</t>
  </si>
  <si>
    <t>211 S Cooper St</t>
  </si>
  <si>
    <t xml:space="preserve">76019-0001                                                                   </t>
  </si>
  <si>
    <t>National Academy of Inventors Inc</t>
  </si>
  <si>
    <t>3702 Spectrum Blvd Ste 165</t>
  </si>
  <si>
    <t xml:space="preserve">33612-9445                                                                                        </t>
  </si>
  <si>
    <t>Tri Star Managed Care</t>
  </si>
  <si>
    <t>216 W Jackson Blvd</t>
  </si>
  <si>
    <t xml:space="preserve">60606-6909                                                                                                          </t>
  </si>
  <si>
    <t>Missouri Journalism Education Association</t>
  </si>
  <si>
    <t>Holly Poole</t>
  </si>
  <si>
    <t>481 N Bedford St</t>
  </si>
  <si>
    <t>Puxico</t>
  </si>
  <si>
    <t xml:space="preserve">63960-9144                                                                              </t>
  </si>
  <si>
    <t>Unsell Schattnik &amp; Phillips PC</t>
  </si>
  <si>
    <t>3 S 6th St</t>
  </si>
  <si>
    <t>Wood River</t>
  </si>
  <si>
    <t xml:space="preserve">62095-2107                                                                                                      </t>
  </si>
  <si>
    <t>Sorkins Business and Government Information</t>
  </si>
  <si>
    <t>237 E 5th St Ste 343</t>
  </si>
  <si>
    <t xml:space="preserve">63025-1223                                                                                   </t>
  </si>
  <si>
    <t>Tau Kappa Epsilon Fraternity Inc</t>
  </si>
  <si>
    <t>7439 Woodland Dr Ste 100</t>
  </si>
  <si>
    <t xml:space="preserve">46278-1940                                                                                    </t>
  </si>
  <si>
    <t>Louisiana Visitors and Convention Bureau</t>
  </si>
  <si>
    <t>221 Mansion St</t>
  </si>
  <si>
    <t>Louisiana</t>
  </si>
  <si>
    <t xml:space="preserve">63353-1116                                                                                         </t>
  </si>
  <si>
    <t>BoardEffect LLC</t>
  </si>
  <si>
    <t>161 Leverington Ave Ste 1001</t>
  </si>
  <si>
    <t xml:space="preserve">19127-2034                                                                                                 </t>
  </si>
  <si>
    <t>Intelex Corporation</t>
  </si>
  <si>
    <t>PO Box 859</t>
  </si>
  <si>
    <t xml:space="preserve">22902-0859                                                                                                            </t>
  </si>
  <si>
    <t>National Association of Clery Compliance Officers and Prof</t>
  </si>
  <si>
    <t>179 Rehoboth Ave Unit 1131</t>
  </si>
  <si>
    <t>Rehoboth Beach</t>
  </si>
  <si>
    <t xml:space="preserve">19971-7943                                                      </t>
  </si>
  <si>
    <t>Nilands Limited</t>
  </si>
  <si>
    <t>2 Victoria Pl</t>
  </si>
  <si>
    <t>Eyre Square</t>
  </si>
  <si>
    <t xml:space="preserve">                                                                                                                       </t>
  </si>
  <si>
    <t>St Louis Ovarian Cancer Awareness</t>
  </si>
  <si>
    <t>12015 Manchester Rd Ste 130</t>
  </si>
  <si>
    <t xml:space="preserve">63131-4417                                                                                 </t>
  </si>
  <si>
    <t>GlobalHack Inc.</t>
  </si>
  <si>
    <t>c/o Matt Menietti</t>
  </si>
  <si>
    <t>911 Washington Ave Ste 657</t>
  </si>
  <si>
    <t xml:space="preserve">63101-1212                                                                                   </t>
  </si>
  <si>
    <t>Convey Compliance Systems LLC</t>
  </si>
  <si>
    <t>PO Box 347977</t>
  </si>
  <si>
    <t xml:space="preserve">15251-4977                                                                                                    </t>
  </si>
  <si>
    <t>Research Foundation of the City University of New York</t>
  </si>
  <si>
    <t>230 W 41st St Fl 7</t>
  </si>
  <si>
    <t xml:space="preserve">10036-7207                                                                        </t>
  </si>
  <si>
    <t>Rebels Roundball Review</t>
  </si>
  <si>
    <t>33-24 91st St Apt 2V</t>
  </si>
  <si>
    <t>Jackson Heights</t>
  </si>
  <si>
    <t xml:space="preserve">11372-1716                                                                                              </t>
  </si>
  <si>
    <t>Green House Venture</t>
  </si>
  <si>
    <t>4229 Flora Pl</t>
  </si>
  <si>
    <t xml:space="preserve">63110-3508                                                                                                             </t>
  </si>
  <si>
    <t>Regulation Directive Medical Physics LLC</t>
  </si>
  <si>
    <t>104 Hildeen Ct</t>
  </si>
  <si>
    <t>Russell</t>
  </si>
  <si>
    <t xml:space="preserve">41169-1634                                                                                           </t>
  </si>
  <si>
    <t>Docket LLC</t>
  </si>
  <si>
    <t>Chris @ The Docket</t>
  </si>
  <si>
    <t xml:space="preserve">63101-1931                                                                                                </t>
  </si>
  <si>
    <t>Abt Associates Inc</t>
  </si>
  <si>
    <t>PO Box 845586</t>
  </si>
  <si>
    <t xml:space="preserve">02284-5586                                                                                                                   </t>
  </si>
  <si>
    <t>Illinois Union Insurance Company</t>
  </si>
  <si>
    <t>525 W Monroe St Ste 700</t>
  </si>
  <si>
    <t xml:space="preserve">60661-3641                                                                                          </t>
  </si>
  <si>
    <t>Boon Administrative Services</t>
  </si>
  <si>
    <t>PO Box 9788</t>
  </si>
  <si>
    <t xml:space="preserve">78766-9788                                                                                                           </t>
  </si>
  <si>
    <t>Challenge Unlimited Health and Welfare Plan</t>
  </si>
  <si>
    <t>Fce Benefits</t>
  </si>
  <si>
    <t>4615 Walzem Rd Ste 300</t>
  </si>
  <si>
    <t xml:space="preserve">78218-1608                                                                </t>
  </si>
  <si>
    <t>Lemos Toxicology Services LLC</t>
  </si>
  <si>
    <t>333 E Amado Rd Apt 217</t>
  </si>
  <si>
    <t>Palm Springs</t>
  </si>
  <si>
    <t xml:space="preserve">92262-6451                                                                                         </t>
  </si>
  <si>
    <t>SMTEH3 LLC</t>
  </si>
  <si>
    <t>Southwest Crossing</t>
  </si>
  <si>
    <t>645 Penn St</t>
  </si>
  <si>
    <t xml:space="preserve">19601-3543                                                                                                          </t>
  </si>
  <si>
    <t>Research Trends (P) Ltd</t>
  </si>
  <si>
    <t>TC 8/1852(1) Parakovil Rd</t>
  </si>
  <si>
    <t>Thirumala PO</t>
  </si>
  <si>
    <t>Riable Law Firm Inc</t>
  </si>
  <si>
    <t>9710 Interstate 30</t>
  </si>
  <si>
    <t xml:space="preserve">72209-3304                                                                                                        </t>
  </si>
  <si>
    <t>Teatopia</t>
  </si>
  <si>
    <t>2606 Cherokee St</t>
  </si>
  <si>
    <t xml:space="preserve">63118-3116                                                                                                                     </t>
  </si>
  <si>
    <t>Warrenton Elks Lodge #2662</t>
  </si>
  <si>
    <t>1101 E Veterans Memorial Pkwy</t>
  </si>
  <si>
    <t>Warrenton</t>
  </si>
  <si>
    <t xml:space="preserve">63383-1311                                                                                        </t>
  </si>
  <si>
    <t>North Hunterdon-Voorhees Regional High School District</t>
  </si>
  <si>
    <t>1445 State Route 31 S</t>
  </si>
  <si>
    <t>Annandale</t>
  </si>
  <si>
    <t xml:space="preserve">08801-3132                                                                    </t>
  </si>
  <si>
    <t>Gold Shield Security</t>
  </si>
  <si>
    <t>9867 Richmond Cavalry Dr</t>
  </si>
  <si>
    <t xml:space="preserve">63123-1811                                                                                                 </t>
  </si>
  <si>
    <t>Everest Reinsurance Company</t>
  </si>
  <si>
    <t>PO Box 10877</t>
  </si>
  <si>
    <t xml:space="preserve">33757-8877                                                                                                       </t>
  </si>
  <si>
    <t>Jonathan A Hill Bookseller Inc</t>
  </si>
  <si>
    <t>325 W End Ave Apt 10B</t>
  </si>
  <si>
    <t xml:space="preserve">10023-8143                                                                                             </t>
  </si>
  <si>
    <t>DH Helicopter Inc</t>
  </si>
  <si>
    <t>North American Helicopter</t>
  </si>
  <si>
    <t xml:space="preserve">62206-1460                                                                                          </t>
  </si>
  <si>
    <t>ThermiGen LLC</t>
  </si>
  <si>
    <t>3131 W Royal Ln Ste 150</t>
  </si>
  <si>
    <t xml:space="preserve">75063-3118                                                                                                              </t>
  </si>
  <si>
    <t>Cahokia Unit School District #187</t>
  </si>
  <si>
    <t>1700 Jerome Ln</t>
  </si>
  <si>
    <t xml:space="preserve">62206-2399                                                                                         </t>
  </si>
  <si>
    <t>Integrated Wellness Partners LLC</t>
  </si>
  <si>
    <t>19 N High St</t>
  </si>
  <si>
    <t>Akron</t>
  </si>
  <si>
    <t xml:space="preserve">44308-1912                                                                                                       </t>
  </si>
  <si>
    <t>Maurice Green Estate</t>
  </si>
  <si>
    <t>1164 Sara Mathews Ln</t>
  </si>
  <si>
    <t xml:space="preserve">63005-8430                                                                                                        </t>
  </si>
  <si>
    <t>JK Carter</t>
  </si>
  <si>
    <t>103 Geranium St</t>
  </si>
  <si>
    <t xml:space="preserve">27704-2286                                                                                                                          </t>
  </si>
  <si>
    <t>Cenpatico</t>
  </si>
  <si>
    <t>7700 Forsyth Blvd</t>
  </si>
  <si>
    <t xml:space="preserve">63105-1807                                                                                                                   </t>
  </si>
  <si>
    <t>MiraVia</t>
  </si>
  <si>
    <t>93 Medford St</t>
  </si>
  <si>
    <t xml:space="preserve">02474-3116                                                                                                                           </t>
  </si>
  <si>
    <t>Delta Regional Authority</t>
  </si>
  <si>
    <t>236 Sharkey Ave Rm 400</t>
  </si>
  <si>
    <t>Clarksdale</t>
  </si>
  <si>
    <t xml:space="preserve">38614-4405                                                                                                </t>
  </si>
  <si>
    <t>Memphis Area College Night Inc</t>
  </si>
  <si>
    <t>605 Furlong Cv</t>
  </si>
  <si>
    <t>Collierville</t>
  </si>
  <si>
    <t xml:space="preserve">38017-7170                                                                                                </t>
  </si>
  <si>
    <t>Ellen C Ranney PhD LMFT</t>
  </si>
  <si>
    <t>1509 Bellevue Ave</t>
  </si>
  <si>
    <t xml:space="preserve">63117-2316                                                                                                     </t>
  </si>
  <si>
    <t>Indian National Bar Association</t>
  </si>
  <si>
    <t>8/11 First Florr Jungpura Extension</t>
  </si>
  <si>
    <t>Xcelerate Lacrosse LLC</t>
  </si>
  <si>
    <t>PO Box 31</t>
  </si>
  <si>
    <t>West Simsbury</t>
  </si>
  <si>
    <t xml:space="preserve">06092-0031                                                                                                            </t>
  </si>
  <si>
    <t>Professional Technologies</t>
  </si>
  <si>
    <t>Csi Global Deposition Services</t>
  </si>
  <si>
    <t>4950 N O'Connor Rd St 152</t>
  </si>
  <si>
    <t xml:space="preserve">75062-2296                                                                  </t>
  </si>
  <si>
    <t>Ellis Enterprise LLC</t>
  </si>
  <si>
    <t>4579 Laclede Ave Apt 320</t>
  </si>
  <si>
    <t xml:space="preserve">63108-2103                                                                                                 </t>
  </si>
  <si>
    <t>NovAliX</t>
  </si>
  <si>
    <t>850 Boulevard Sebastien Brant</t>
  </si>
  <si>
    <t>Illkirch</t>
  </si>
  <si>
    <t>C Green &amp; Associates Inc</t>
  </si>
  <si>
    <t>PO Box 293</t>
  </si>
  <si>
    <t xml:space="preserve">62025-0293                                                                                                          </t>
  </si>
  <si>
    <t>Saint Louis Football Club</t>
  </si>
  <si>
    <t>Attn Jeremy Alumbaugh</t>
  </si>
  <si>
    <t>1 Soccer Park Rd</t>
  </si>
  <si>
    <t xml:space="preserve">63026-2537                                                                                    </t>
  </si>
  <si>
    <t>Student Art Therapy Association</t>
  </si>
  <si>
    <t>Siue Campus Box 1774</t>
  </si>
  <si>
    <t xml:space="preserve">62026-0001                                                                                         </t>
  </si>
  <si>
    <t>Oliver Group Inc</t>
  </si>
  <si>
    <t>13500 Oliver Station Ct</t>
  </si>
  <si>
    <t xml:space="preserve">40245-2128                                                                                                       </t>
  </si>
  <si>
    <t>MMJM Companies Inc</t>
  </si>
  <si>
    <t>4665 Stonebridge Rd</t>
  </si>
  <si>
    <t>West des Moines</t>
  </si>
  <si>
    <t xml:space="preserve">50265-2992                                                                                                    </t>
  </si>
  <si>
    <t>Sigma Assessment Systems Inc</t>
  </si>
  <si>
    <t>PO Box 610757</t>
  </si>
  <si>
    <t>Port Huron</t>
  </si>
  <si>
    <t xml:space="preserve">48061-0757                                                                                                     </t>
  </si>
  <si>
    <t>LabMetrics LLC</t>
  </si>
  <si>
    <t>606 N 5th St</t>
  </si>
  <si>
    <t>Ishpeming</t>
  </si>
  <si>
    <t xml:space="preserve">49849-1713                                                                                                                     </t>
  </si>
  <si>
    <t>American Music Therapy Association Inc</t>
  </si>
  <si>
    <t>8455 Colesville Rd Ste 1000</t>
  </si>
  <si>
    <t xml:space="preserve">20910-3392                                                                          </t>
  </si>
  <si>
    <t>Baker Sterchi Cowden &amp; Rice LLC</t>
  </si>
  <si>
    <t>100 Broadway Fl 21</t>
  </si>
  <si>
    <t>ComplianceLine LLC</t>
  </si>
  <si>
    <t>301 McCullough Dr Ste 520</t>
  </si>
  <si>
    <t xml:space="preserve">28262-1336                                                                                                    </t>
  </si>
  <si>
    <t>Human Intelligence LLC</t>
  </si>
  <si>
    <t>15740 Tambour Ct</t>
  </si>
  <si>
    <t xml:space="preserve">63017-7224                                                                                                      </t>
  </si>
  <si>
    <t>OSF Multi-Specialty Group</t>
  </si>
  <si>
    <t>Osf Medical Group</t>
  </si>
  <si>
    <t>7707 N Knoxville Ave Ste 200</t>
  </si>
  <si>
    <t xml:space="preserve">61614-2020                                                                            </t>
  </si>
  <si>
    <t>Kristen Schneider Consulting LLC</t>
  </si>
  <si>
    <t>530 Jordan Rd</t>
  </si>
  <si>
    <t>Old Monroe</t>
  </si>
  <si>
    <t xml:space="preserve">63369-2613                                                                                                 </t>
  </si>
  <si>
    <t>TechShop Inc</t>
  </si>
  <si>
    <t>Techshop St Louis</t>
  </si>
  <si>
    <t>4260 Forest Park Ave</t>
  </si>
  <si>
    <t xml:space="preserve">63108-2811                                                                                            </t>
  </si>
  <si>
    <t>Michael Laird Rare Books LLC</t>
  </si>
  <si>
    <t>PO Box 299</t>
  </si>
  <si>
    <t>Lockhart</t>
  </si>
  <si>
    <t xml:space="preserve">78644-0299                                                                                                          </t>
  </si>
  <si>
    <t>Shulenburger Law Firm</t>
  </si>
  <si>
    <t>12759 Ladue Rd</t>
  </si>
  <si>
    <t xml:space="preserve">63141-8048                                                                                                          </t>
  </si>
  <si>
    <t>Eberle Productions Inc</t>
  </si>
  <si>
    <t>2804 Barrett Oaks Ln</t>
  </si>
  <si>
    <t xml:space="preserve">63021-3812                                                                                                       </t>
  </si>
  <si>
    <t>Mind Speak Consulting</t>
  </si>
  <si>
    <t>1220 Griefield Pl</t>
  </si>
  <si>
    <t xml:space="preserve">63133-1437                                                                                                       </t>
  </si>
  <si>
    <t>Brookings Institution</t>
  </si>
  <si>
    <t>Attn: Accounts Receivable</t>
  </si>
  <si>
    <t>1775 Massachusetts Ave NW</t>
  </si>
  <si>
    <t xml:space="preserve">20036-2103                                                                       </t>
  </si>
  <si>
    <t>Leadership Dialogues LLC</t>
  </si>
  <si>
    <t>10472 Frontenac Woods Ln</t>
  </si>
  <si>
    <t xml:space="preserve">63131-3423                                                                                             </t>
  </si>
  <si>
    <t>David G Armstrong</t>
  </si>
  <si>
    <t>2275 Huntington Dr Ste 346</t>
  </si>
  <si>
    <t>San Marino</t>
  </si>
  <si>
    <t xml:space="preserve">91108-2640                                                                                                   </t>
  </si>
  <si>
    <t>Safelite Autoglass</t>
  </si>
  <si>
    <t>2055 Westport Center Dr</t>
  </si>
  <si>
    <t xml:space="preserve">63146-3564                                                                                                    </t>
  </si>
  <si>
    <t>Bromer Booksellers Inc</t>
  </si>
  <si>
    <t>607 Boylston St Ste 204</t>
  </si>
  <si>
    <t xml:space="preserve">02116-3696                                                                                                     </t>
  </si>
  <si>
    <t>James M O'Reilly</t>
  </si>
  <si>
    <t>450 W Adams Ave Apt 19</t>
  </si>
  <si>
    <t xml:space="preserve">63122-4076                                                                                                       </t>
  </si>
  <si>
    <t>Paint University LLC</t>
  </si>
  <si>
    <t>3003 N E St</t>
  </si>
  <si>
    <t xml:space="preserve">32501-1325                                                                                                                </t>
  </si>
  <si>
    <t>AKHI Investments Inc</t>
  </si>
  <si>
    <t>Doubletree By Hilton Denver</t>
  </si>
  <si>
    <t>3203 Quebec St</t>
  </si>
  <si>
    <t xml:space="preserve">80207-2319                                                                                     </t>
  </si>
  <si>
    <t>Vincent A Banks III LLC</t>
  </si>
  <si>
    <t>4579 Laclede Ave Ste 379</t>
  </si>
  <si>
    <t xml:space="preserve">63108-2103                                                                                              </t>
  </si>
  <si>
    <t>Cabaret Project of St Louis</t>
  </si>
  <si>
    <t>7832 Stanford Ave</t>
  </si>
  <si>
    <t xml:space="preserve">63130-3610                                                                                                 </t>
  </si>
  <si>
    <t>Maverick Media Group LLC</t>
  </si>
  <si>
    <t>12468 Lyric Ct Apt 202</t>
  </si>
  <si>
    <t xml:space="preserve">63146-2846                                                                                               </t>
  </si>
  <si>
    <t>Oliver Wyman Inc</t>
  </si>
  <si>
    <t>PO Box 3800-28</t>
  </si>
  <si>
    <t xml:space="preserve">02241-0001                                                                                                                    </t>
  </si>
  <si>
    <t>University of Notre Dame</t>
  </si>
  <si>
    <t>PO Box 11381</t>
  </si>
  <si>
    <t>Montclair State University</t>
  </si>
  <si>
    <t>1 Normal Ave</t>
  </si>
  <si>
    <t>Dept of Political Science &amp;</t>
  </si>
  <si>
    <t>Montclair</t>
  </si>
  <si>
    <t xml:space="preserve">07043-1624                                                                              </t>
  </si>
  <si>
    <t>Sarah Paszkiewicz Reporting Inc</t>
  </si>
  <si>
    <t>Paszkiewicz Court Reporting</t>
  </si>
  <si>
    <t>316 Grindstone Rd</t>
  </si>
  <si>
    <t>Chatham</t>
  </si>
  <si>
    <t xml:space="preserve">62629-2054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</si>
</sst>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1"/>
  <sheetViews>
    <sheetView tabSelected="1" workbookViewId="0">
      <selection activeCell="C1" sqref="C1"/>
    </sheetView>
  </sheetViews>
  <sheetFormatPr defaultRowHeight="15" x14ac:dyDescent="0.25"/>
  <cols>
    <col min="1" max="1" width="12.7109375" customWidth="1"/>
    <col min="3" max="3" width="44.7109375" customWidth="1"/>
    <col min="4" max="4" width="30.85546875" customWidth="1"/>
    <col min="5" max="6" width="24.140625" customWidth="1"/>
    <col min="7" max="7" width="14.71093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tr">
        <f>"000800857"</f>
        <v>000800857</v>
      </c>
      <c r="B2" t="s">
        <v>9</v>
      </c>
      <c r="D2" t="s">
        <v>10</v>
      </c>
      <c r="E2" t="s">
        <v>11</v>
      </c>
      <c r="G2" t="s">
        <v>12</v>
      </c>
      <c r="H2" t="s">
        <v>13</v>
      </c>
      <c r="I2" t="s">
        <v>14</v>
      </c>
    </row>
    <row r="3" spans="1:9" x14ac:dyDescent="0.25">
      <c r="A3" t="str">
        <f>"000800860"</f>
        <v>000800860</v>
      </c>
      <c r="B3" t="s">
        <v>15</v>
      </c>
      <c r="D3" t="s">
        <v>16</v>
      </c>
      <c r="G3" t="s">
        <v>17</v>
      </c>
      <c r="H3" t="s">
        <v>13</v>
      </c>
      <c r="I3" t="s">
        <v>18</v>
      </c>
    </row>
    <row r="4" spans="1:9" x14ac:dyDescent="0.25">
      <c r="A4" t="str">
        <f>"000802871"</f>
        <v>000802871</v>
      </c>
      <c r="B4" t="s">
        <v>19</v>
      </c>
      <c r="D4" t="s">
        <v>20</v>
      </c>
      <c r="E4" t="s">
        <v>21</v>
      </c>
      <c r="G4" t="s">
        <v>22</v>
      </c>
      <c r="H4" t="s">
        <v>23</v>
      </c>
      <c r="I4" t="s">
        <v>24</v>
      </c>
    </row>
    <row r="5" spans="1:9" x14ac:dyDescent="0.25">
      <c r="A5" t="str">
        <f>"000801571"</f>
        <v>000801571</v>
      </c>
      <c r="B5" t="s">
        <v>25</v>
      </c>
      <c r="D5" t="s">
        <v>26</v>
      </c>
      <c r="G5" t="s">
        <v>27</v>
      </c>
      <c r="H5" t="s">
        <v>28</v>
      </c>
      <c r="I5" t="s">
        <v>29</v>
      </c>
    </row>
    <row r="6" spans="1:9" x14ac:dyDescent="0.25">
      <c r="A6" t="str">
        <f>"000801206"</f>
        <v>000801206</v>
      </c>
      <c r="B6" t="s">
        <v>30</v>
      </c>
      <c r="D6" t="s">
        <v>31</v>
      </c>
      <c r="E6" t="s">
        <v>32</v>
      </c>
      <c r="G6" t="s">
        <v>33</v>
      </c>
      <c r="H6" t="s">
        <v>34</v>
      </c>
      <c r="I6" t="s">
        <v>35</v>
      </c>
    </row>
    <row r="7" spans="1:9" x14ac:dyDescent="0.25">
      <c r="A7" t="str">
        <f>"000802663"</f>
        <v>000802663</v>
      </c>
      <c r="B7" t="s">
        <v>36</v>
      </c>
      <c r="D7" t="s">
        <v>37</v>
      </c>
      <c r="G7" t="s">
        <v>38</v>
      </c>
      <c r="H7" t="s">
        <v>39</v>
      </c>
      <c r="I7" t="s">
        <v>40</v>
      </c>
    </row>
    <row r="8" spans="1:9" x14ac:dyDescent="0.25">
      <c r="A8" t="str">
        <f>"000803549"</f>
        <v>000803549</v>
      </c>
      <c r="B8" t="s">
        <v>41</v>
      </c>
      <c r="D8" t="s">
        <v>42</v>
      </c>
      <c r="E8" t="s">
        <v>43</v>
      </c>
      <c r="F8" t="s">
        <v>44</v>
      </c>
      <c r="G8" t="s">
        <v>45</v>
      </c>
      <c r="H8" t="s">
        <v>46</v>
      </c>
      <c r="I8" t="s">
        <v>47</v>
      </c>
    </row>
    <row r="9" spans="1:9" x14ac:dyDescent="0.25">
      <c r="A9" t="str">
        <f>"000629513"</f>
        <v>000629513</v>
      </c>
      <c r="B9" t="s">
        <v>48</v>
      </c>
      <c r="D9" t="s">
        <v>49</v>
      </c>
      <c r="G9" t="s">
        <v>50</v>
      </c>
      <c r="H9" t="s">
        <v>51</v>
      </c>
      <c r="I9" t="s">
        <v>52</v>
      </c>
    </row>
    <row r="10" spans="1:9" x14ac:dyDescent="0.25">
      <c r="A10" t="str">
        <f>"000802837"</f>
        <v>000802837</v>
      </c>
      <c r="B10" t="s">
        <v>53</v>
      </c>
      <c r="D10" t="s">
        <v>54</v>
      </c>
      <c r="E10" t="s">
        <v>55</v>
      </c>
      <c r="G10" t="s">
        <v>56</v>
      </c>
      <c r="H10" t="s">
        <v>28</v>
      </c>
      <c r="I10" t="s">
        <v>57</v>
      </c>
    </row>
    <row r="11" spans="1:9" x14ac:dyDescent="0.25">
      <c r="A11" t="str">
        <f>"000801831"</f>
        <v>000801831</v>
      </c>
      <c r="B11" t="s">
        <v>58</v>
      </c>
      <c r="D11" t="s">
        <v>59</v>
      </c>
      <c r="G11" t="s">
        <v>60</v>
      </c>
      <c r="H11" t="s">
        <v>28</v>
      </c>
      <c r="I11" t="s">
        <v>61</v>
      </c>
    </row>
    <row r="12" spans="1:9" x14ac:dyDescent="0.25">
      <c r="A12" t="str">
        <f>"000628970"</f>
        <v>000628970</v>
      </c>
      <c r="B12" t="s">
        <v>62</v>
      </c>
      <c r="D12" t="s">
        <v>63</v>
      </c>
      <c r="G12" t="s">
        <v>64</v>
      </c>
      <c r="H12" t="s">
        <v>39</v>
      </c>
      <c r="I12" t="s">
        <v>65</v>
      </c>
    </row>
    <row r="13" spans="1:9" x14ac:dyDescent="0.25">
      <c r="A13" t="str">
        <f>"000629633"</f>
        <v>000629633</v>
      </c>
      <c r="B13" t="s">
        <v>66</v>
      </c>
      <c r="D13" t="s">
        <v>67</v>
      </c>
      <c r="E13" t="s">
        <v>68</v>
      </c>
      <c r="G13" t="s">
        <v>69</v>
      </c>
      <c r="H13" t="s">
        <v>70</v>
      </c>
      <c r="I13" t="s">
        <v>71</v>
      </c>
    </row>
    <row r="14" spans="1:9" x14ac:dyDescent="0.25">
      <c r="A14" t="str">
        <f>"000801512"</f>
        <v>000801512</v>
      </c>
      <c r="B14" t="s">
        <v>72</v>
      </c>
      <c r="D14" t="s">
        <v>73</v>
      </c>
      <c r="G14" t="s">
        <v>74</v>
      </c>
      <c r="H14" t="s">
        <v>75</v>
      </c>
      <c r="I14" t="s">
        <v>76</v>
      </c>
    </row>
    <row r="15" spans="1:9" x14ac:dyDescent="0.25">
      <c r="A15" t="str">
        <f>"000800907"</f>
        <v>000800907</v>
      </c>
      <c r="B15" t="s">
        <v>77</v>
      </c>
      <c r="D15" t="s">
        <v>78</v>
      </c>
      <c r="G15" t="s">
        <v>79</v>
      </c>
      <c r="H15" t="s">
        <v>51</v>
      </c>
      <c r="I15" t="s">
        <v>80</v>
      </c>
    </row>
    <row r="16" spans="1:9" x14ac:dyDescent="0.25">
      <c r="A16" t="str">
        <f>"000629446"</f>
        <v>000629446</v>
      </c>
      <c r="B16" t="s">
        <v>81</v>
      </c>
      <c r="D16" t="s">
        <v>82</v>
      </c>
      <c r="G16" t="s">
        <v>83</v>
      </c>
      <c r="H16" t="s">
        <v>84</v>
      </c>
      <c r="I16" t="s">
        <v>85</v>
      </c>
    </row>
    <row r="17" spans="1:9" x14ac:dyDescent="0.25">
      <c r="A17" t="str">
        <f>"000801076"</f>
        <v>000801076</v>
      </c>
      <c r="B17" t="s">
        <v>86</v>
      </c>
      <c r="D17" t="s">
        <v>87</v>
      </c>
      <c r="E17" t="s">
        <v>88</v>
      </c>
      <c r="F17" t="s">
        <v>89</v>
      </c>
      <c r="G17" t="s">
        <v>90</v>
      </c>
      <c r="H17" t="s">
        <v>39</v>
      </c>
      <c r="I17">
        <v>64106</v>
      </c>
    </row>
    <row r="18" spans="1:9" x14ac:dyDescent="0.25">
      <c r="A18" t="str">
        <f>"000800218"</f>
        <v>000800218</v>
      </c>
      <c r="B18" t="s">
        <v>91</v>
      </c>
      <c r="D18" t="s">
        <v>92</v>
      </c>
      <c r="G18" t="s">
        <v>93</v>
      </c>
      <c r="H18" t="s">
        <v>70</v>
      </c>
      <c r="I18" t="s">
        <v>94</v>
      </c>
    </row>
    <row r="19" spans="1:9" x14ac:dyDescent="0.25">
      <c r="A19" t="str">
        <f>"000628959"</f>
        <v>000628959</v>
      </c>
      <c r="B19" t="s">
        <v>95</v>
      </c>
      <c r="D19" t="s">
        <v>96</v>
      </c>
      <c r="E19" t="s">
        <v>97</v>
      </c>
      <c r="F19" t="s">
        <v>98</v>
      </c>
      <c r="G19" t="s">
        <v>99</v>
      </c>
      <c r="H19" t="s">
        <v>100</v>
      </c>
      <c r="I19" t="s">
        <v>101</v>
      </c>
    </row>
    <row r="20" spans="1:9" x14ac:dyDescent="0.25">
      <c r="A20" t="str">
        <f>"000847390"</f>
        <v>000847390</v>
      </c>
      <c r="B20" t="s">
        <v>102</v>
      </c>
      <c r="D20" t="s">
        <v>103</v>
      </c>
      <c r="G20" t="s">
        <v>104</v>
      </c>
      <c r="H20" t="s">
        <v>28</v>
      </c>
      <c r="I20" t="s">
        <v>105</v>
      </c>
    </row>
    <row r="21" spans="1:9" x14ac:dyDescent="0.25">
      <c r="A21" t="str">
        <f>"000580854"</f>
        <v>000580854</v>
      </c>
      <c r="B21" t="s">
        <v>106</v>
      </c>
      <c r="D21" t="s">
        <v>107</v>
      </c>
      <c r="G21" t="s">
        <v>64</v>
      </c>
      <c r="H21" t="s">
        <v>39</v>
      </c>
      <c r="I21" t="s">
        <v>108</v>
      </c>
    </row>
    <row r="22" spans="1:9" x14ac:dyDescent="0.25">
      <c r="A22" t="str">
        <f>"000582418"</f>
        <v>000582418</v>
      </c>
      <c r="B22" t="s">
        <v>109</v>
      </c>
      <c r="D22" t="s">
        <v>110</v>
      </c>
      <c r="E22" t="s">
        <v>111</v>
      </c>
      <c r="F22" t="s">
        <v>112</v>
      </c>
      <c r="G22" t="s">
        <v>64</v>
      </c>
      <c r="H22" t="s">
        <v>39</v>
      </c>
      <c r="I22" t="s">
        <v>113</v>
      </c>
    </row>
    <row r="23" spans="1:9" x14ac:dyDescent="0.25">
      <c r="A23" t="str">
        <f>"000581698"</f>
        <v>000581698</v>
      </c>
      <c r="B23" t="s">
        <v>114</v>
      </c>
      <c r="D23" t="s">
        <v>115</v>
      </c>
      <c r="G23" t="s">
        <v>64</v>
      </c>
      <c r="H23" t="s">
        <v>39</v>
      </c>
      <c r="I23" t="s">
        <v>116</v>
      </c>
    </row>
    <row r="24" spans="1:9" x14ac:dyDescent="0.25">
      <c r="A24" t="str">
        <f>"000564355"</f>
        <v>000564355</v>
      </c>
      <c r="B24" t="s">
        <v>117</v>
      </c>
      <c r="D24" t="s">
        <v>118</v>
      </c>
      <c r="G24" t="s">
        <v>119</v>
      </c>
      <c r="H24" t="s">
        <v>120</v>
      </c>
      <c r="I24" t="s">
        <v>121</v>
      </c>
    </row>
    <row r="25" spans="1:9" x14ac:dyDescent="0.25">
      <c r="A25" t="str">
        <f>"000564903"</f>
        <v>000564903</v>
      </c>
      <c r="B25" t="s">
        <v>122</v>
      </c>
      <c r="D25" t="s">
        <v>123</v>
      </c>
      <c r="G25" t="s">
        <v>64</v>
      </c>
      <c r="H25" t="s">
        <v>39</v>
      </c>
      <c r="I25" t="s">
        <v>124</v>
      </c>
    </row>
    <row r="26" spans="1:9" x14ac:dyDescent="0.25">
      <c r="A26" t="str">
        <f>"000568487"</f>
        <v>000568487</v>
      </c>
      <c r="B26" t="s">
        <v>125</v>
      </c>
      <c r="D26" t="s">
        <v>126</v>
      </c>
      <c r="G26" t="s">
        <v>64</v>
      </c>
      <c r="H26" t="s">
        <v>39</v>
      </c>
      <c r="I26" t="s">
        <v>127</v>
      </c>
    </row>
    <row r="27" spans="1:9" x14ac:dyDescent="0.25">
      <c r="A27" t="str">
        <f>"000565869"</f>
        <v>000565869</v>
      </c>
      <c r="B27" t="s">
        <v>128</v>
      </c>
      <c r="D27" t="s">
        <v>129</v>
      </c>
      <c r="G27" t="s">
        <v>130</v>
      </c>
      <c r="H27" t="s">
        <v>131</v>
      </c>
      <c r="I27" t="s">
        <v>132</v>
      </c>
    </row>
    <row r="28" spans="1:9" x14ac:dyDescent="0.25">
      <c r="A28" t="str">
        <f>"000561164"</f>
        <v>000561164</v>
      </c>
      <c r="B28" t="s">
        <v>133</v>
      </c>
      <c r="D28" t="s">
        <v>134</v>
      </c>
      <c r="E28" t="s">
        <v>135</v>
      </c>
      <c r="G28" t="s">
        <v>136</v>
      </c>
      <c r="H28" t="s">
        <v>28</v>
      </c>
      <c r="I28" t="s">
        <v>137</v>
      </c>
    </row>
    <row r="29" spans="1:9" x14ac:dyDescent="0.25">
      <c r="A29" t="str">
        <f>"000555022"</f>
        <v>000555022</v>
      </c>
      <c r="B29" t="s">
        <v>138</v>
      </c>
      <c r="D29" t="s">
        <v>139</v>
      </c>
      <c r="E29" t="s">
        <v>140</v>
      </c>
      <c r="G29" t="s">
        <v>64</v>
      </c>
      <c r="H29" t="s">
        <v>39</v>
      </c>
      <c r="I29" t="s">
        <v>141</v>
      </c>
    </row>
    <row r="30" spans="1:9" x14ac:dyDescent="0.25">
      <c r="A30" t="str">
        <f>"000560643"</f>
        <v>000560643</v>
      </c>
      <c r="B30" t="s">
        <v>142</v>
      </c>
      <c r="D30" t="s">
        <v>143</v>
      </c>
      <c r="G30" t="s">
        <v>64</v>
      </c>
      <c r="H30" t="s">
        <v>39</v>
      </c>
      <c r="I30" t="s">
        <v>144</v>
      </c>
    </row>
    <row r="31" spans="1:9" x14ac:dyDescent="0.25">
      <c r="A31" t="str">
        <f>"000012278"</f>
        <v>000012278</v>
      </c>
      <c r="B31" t="s">
        <v>145</v>
      </c>
      <c r="D31" t="s">
        <v>146</v>
      </c>
      <c r="G31" t="s">
        <v>64</v>
      </c>
      <c r="H31" t="s">
        <v>39</v>
      </c>
      <c r="I31" t="s">
        <v>147</v>
      </c>
    </row>
    <row r="32" spans="1:9" x14ac:dyDescent="0.25">
      <c r="A32" t="str">
        <f>"000011830"</f>
        <v>000011830</v>
      </c>
      <c r="B32" t="s">
        <v>148</v>
      </c>
      <c r="D32" t="s">
        <v>149</v>
      </c>
      <c r="E32" t="s">
        <v>150</v>
      </c>
      <c r="G32" t="s">
        <v>151</v>
      </c>
      <c r="H32" t="s">
        <v>152</v>
      </c>
      <c r="I32" t="s">
        <v>153</v>
      </c>
    </row>
    <row r="33" spans="1:9" x14ac:dyDescent="0.25">
      <c r="A33" t="str">
        <f>"000011810"</f>
        <v>000011810</v>
      </c>
      <c r="B33" t="s">
        <v>154</v>
      </c>
      <c r="D33" t="s">
        <v>155</v>
      </c>
      <c r="E33" t="s">
        <v>156</v>
      </c>
      <c r="G33" t="s">
        <v>17</v>
      </c>
      <c r="H33" t="s">
        <v>13</v>
      </c>
      <c r="I33" t="s">
        <v>157</v>
      </c>
    </row>
    <row r="34" spans="1:9" x14ac:dyDescent="0.25">
      <c r="A34" t="str">
        <f>"000018350"</f>
        <v>000018350</v>
      </c>
      <c r="B34" t="s">
        <v>158</v>
      </c>
      <c r="D34" t="s">
        <v>159</v>
      </c>
      <c r="G34" t="s">
        <v>160</v>
      </c>
      <c r="H34" t="s">
        <v>161</v>
      </c>
      <c r="I34" t="s">
        <v>162</v>
      </c>
    </row>
    <row r="35" spans="1:9" x14ac:dyDescent="0.25">
      <c r="A35" t="str">
        <f>"000010081"</f>
        <v>000010081</v>
      </c>
      <c r="B35" t="s">
        <v>163</v>
      </c>
      <c r="D35" t="s">
        <v>164</v>
      </c>
      <c r="G35" t="s">
        <v>165</v>
      </c>
      <c r="H35" t="s">
        <v>166</v>
      </c>
      <c r="I35" t="s">
        <v>167</v>
      </c>
    </row>
    <row r="36" spans="1:9" x14ac:dyDescent="0.25">
      <c r="A36" t="str">
        <f>"000010388"</f>
        <v>000010388</v>
      </c>
      <c r="B36" t="s">
        <v>168</v>
      </c>
      <c r="D36" t="s">
        <v>169</v>
      </c>
      <c r="G36" t="s">
        <v>170</v>
      </c>
      <c r="H36" t="s">
        <v>171</v>
      </c>
      <c r="I36" t="s">
        <v>172</v>
      </c>
    </row>
    <row r="37" spans="1:9" x14ac:dyDescent="0.25">
      <c r="A37" t="str">
        <f>"000010113"</f>
        <v>000010113</v>
      </c>
      <c r="B37" t="s">
        <v>173</v>
      </c>
      <c r="D37" t="s">
        <v>174</v>
      </c>
      <c r="E37" t="s">
        <v>175</v>
      </c>
      <c r="G37" t="s">
        <v>176</v>
      </c>
      <c r="H37" t="s">
        <v>75</v>
      </c>
      <c r="I37" t="s">
        <v>177</v>
      </c>
    </row>
    <row r="38" spans="1:9" x14ac:dyDescent="0.25">
      <c r="A38" t="str">
        <f>"000010501"</f>
        <v>000010501</v>
      </c>
      <c r="B38" t="s">
        <v>178</v>
      </c>
      <c r="D38" t="s">
        <v>179</v>
      </c>
      <c r="E38" t="s">
        <v>180</v>
      </c>
      <c r="G38" t="s">
        <v>181</v>
      </c>
      <c r="H38" t="s">
        <v>182</v>
      </c>
      <c r="I38" t="s">
        <v>183</v>
      </c>
    </row>
    <row r="39" spans="1:9" x14ac:dyDescent="0.25">
      <c r="A39" t="str">
        <f>"000010455"</f>
        <v>000010455</v>
      </c>
      <c r="B39" t="s">
        <v>184</v>
      </c>
      <c r="D39" t="s">
        <v>185</v>
      </c>
      <c r="E39" t="s">
        <v>186</v>
      </c>
      <c r="G39" t="s">
        <v>187</v>
      </c>
      <c r="H39" t="s">
        <v>188</v>
      </c>
      <c r="I39" t="s">
        <v>189</v>
      </c>
    </row>
    <row r="40" spans="1:9" x14ac:dyDescent="0.25">
      <c r="A40" t="str">
        <f>"000010271"</f>
        <v>000010271</v>
      </c>
      <c r="B40" t="s">
        <v>190</v>
      </c>
      <c r="D40" t="s">
        <v>191</v>
      </c>
      <c r="G40" t="s">
        <v>192</v>
      </c>
      <c r="I40">
        <v>50014</v>
      </c>
    </row>
    <row r="41" spans="1:9" x14ac:dyDescent="0.25">
      <c r="A41" t="str">
        <f>"000010826"</f>
        <v>000010826</v>
      </c>
      <c r="B41" t="s">
        <v>193</v>
      </c>
      <c r="D41" t="s">
        <v>194</v>
      </c>
      <c r="E41" t="s">
        <v>195</v>
      </c>
      <c r="F41" t="s">
        <v>196</v>
      </c>
      <c r="G41" t="s">
        <v>197</v>
      </c>
      <c r="H41" t="s">
        <v>28</v>
      </c>
      <c r="I41" t="s">
        <v>198</v>
      </c>
    </row>
    <row r="42" spans="1:9" x14ac:dyDescent="0.25">
      <c r="A42" t="str">
        <f>"000012690"</f>
        <v>000012690</v>
      </c>
      <c r="B42" t="s">
        <v>199</v>
      </c>
      <c r="D42" t="s">
        <v>200</v>
      </c>
      <c r="G42" t="s">
        <v>60</v>
      </c>
      <c r="H42" t="s">
        <v>28</v>
      </c>
      <c r="I42" t="s">
        <v>201</v>
      </c>
    </row>
    <row r="43" spans="1:9" x14ac:dyDescent="0.25">
      <c r="A43" t="str">
        <f>"000012489"</f>
        <v>000012489</v>
      </c>
      <c r="B43" t="s">
        <v>202</v>
      </c>
      <c r="D43" t="s">
        <v>203</v>
      </c>
      <c r="G43" t="s">
        <v>64</v>
      </c>
      <c r="H43" t="s">
        <v>39</v>
      </c>
      <c r="I43" t="s">
        <v>204</v>
      </c>
    </row>
    <row r="44" spans="1:9" x14ac:dyDescent="0.25">
      <c r="A44" t="str">
        <f>"000010658"</f>
        <v>000010658</v>
      </c>
      <c r="B44" t="s">
        <v>205</v>
      </c>
      <c r="D44" t="s">
        <v>206</v>
      </c>
      <c r="E44" t="s">
        <v>207</v>
      </c>
      <c r="G44" t="s">
        <v>90</v>
      </c>
      <c r="H44" t="s">
        <v>39</v>
      </c>
      <c r="I44">
        <v>64110</v>
      </c>
    </row>
    <row r="45" spans="1:9" x14ac:dyDescent="0.25">
      <c r="A45" t="str">
        <f>"000014900"</f>
        <v>000014900</v>
      </c>
      <c r="B45" t="s">
        <v>208</v>
      </c>
      <c r="D45" t="s">
        <v>209</v>
      </c>
      <c r="G45" t="s">
        <v>210</v>
      </c>
      <c r="H45" t="s">
        <v>166</v>
      </c>
      <c r="I45" t="s">
        <v>211</v>
      </c>
    </row>
    <row r="46" spans="1:9" x14ac:dyDescent="0.25">
      <c r="A46" t="str">
        <f>"000012662"</f>
        <v>000012662</v>
      </c>
      <c r="B46" t="s">
        <v>212</v>
      </c>
      <c r="D46" t="s">
        <v>213</v>
      </c>
      <c r="G46" t="s">
        <v>214</v>
      </c>
      <c r="H46" t="s">
        <v>120</v>
      </c>
      <c r="I46" t="s">
        <v>215</v>
      </c>
    </row>
    <row r="47" spans="1:9" x14ac:dyDescent="0.25">
      <c r="A47" t="str">
        <f>"000010325"</f>
        <v>000010325</v>
      </c>
      <c r="B47" t="s">
        <v>216</v>
      </c>
      <c r="D47" t="s">
        <v>217</v>
      </c>
      <c r="E47" t="s">
        <v>218</v>
      </c>
      <c r="F47" t="s">
        <v>219</v>
      </c>
      <c r="G47" t="s">
        <v>220</v>
      </c>
      <c r="H47" t="s">
        <v>221</v>
      </c>
      <c r="I47" t="s">
        <v>222</v>
      </c>
    </row>
    <row r="48" spans="1:9" x14ac:dyDescent="0.25">
      <c r="A48" t="str">
        <f>"000010313"</f>
        <v>000010313</v>
      </c>
      <c r="B48" t="s">
        <v>223</v>
      </c>
      <c r="D48" t="s">
        <v>224</v>
      </c>
      <c r="E48" t="s">
        <v>225</v>
      </c>
      <c r="G48" t="s">
        <v>226</v>
      </c>
      <c r="H48" t="s">
        <v>28</v>
      </c>
      <c r="I48" t="s">
        <v>227</v>
      </c>
    </row>
    <row r="49" spans="1:9" x14ac:dyDescent="0.25">
      <c r="A49" t="str">
        <f>"000011407"</f>
        <v>000011407</v>
      </c>
      <c r="B49" t="s">
        <v>228</v>
      </c>
      <c r="D49" t="s">
        <v>229</v>
      </c>
      <c r="G49" t="s">
        <v>214</v>
      </c>
      <c r="H49" t="s">
        <v>120</v>
      </c>
      <c r="I49" t="s">
        <v>230</v>
      </c>
    </row>
    <row r="50" spans="1:9" x14ac:dyDescent="0.25">
      <c r="A50" t="str">
        <f>"000010116"</f>
        <v>000010116</v>
      </c>
      <c r="B50" t="s">
        <v>231</v>
      </c>
      <c r="D50" t="s">
        <v>232</v>
      </c>
      <c r="E50" t="s">
        <v>233</v>
      </c>
      <c r="G50" t="s">
        <v>64</v>
      </c>
      <c r="H50" t="s">
        <v>39</v>
      </c>
      <c r="I50" t="s">
        <v>234</v>
      </c>
    </row>
    <row r="51" spans="1:9" x14ac:dyDescent="0.25">
      <c r="A51" t="str">
        <f>"000010072"</f>
        <v>000010072</v>
      </c>
      <c r="B51" t="s">
        <v>235</v>
      </c>
      <c r="D51" t="s">
        <v>236</v>
      </c>
      <c r="E51" t="s">
        <v>237</v>
      </c>
      <c r="G51" t="s">
        <v>60</v>
      </c>
      <c r="H51" t="s">
        <v>28</v>
      </c>
      <c r="I51" t="s">
        <v>238</v>
      </c>
    </row>
    <row r="52" spans="1:9" x14ac:dyDescent="0.25">
      <c r="A52" t="str">
        <f>"000011219"</f>
        <v>000011219</v>
      </c>
      <c r="B52" t="s">
        <v>239</v>
      </c>
      <c r="D52" t="s">
        <v>240</v>
      </c>
      <c r="E52" t="s">
        <v>241</v>
      </c>
      <c r="G52" t="s">
        <v>242</v>
      </c>
      <c r="H52" t="s">
        <v>161</v>
      </c>
      <c r="I52" t="s">
        <v>243</v>
      </c>
    </row>
    <row r="53" spans="1:9" x14ac:dyDescent="0.25">
      <c r="A53" t="str">
        <f>"000011598"</f>
        <v>000011598</v>
      </c>
      <c r="B53" t="s">
        <v>244</v>
      </c>
      <c r="D53" t="s">
        <v>245</v>
      </c>
      <c r="E53" t="s">
        <v>246</v>
      </c>
      <c r="G53" t="s">
        <v>130</v>
      </c>
      <c r="H53" t="s">
        <v>131</v>
      </c>
      <c r="I53" t="s">
        <v>247</v>
      </c>
    </row>
    <row r="54" spans="1:9" x14ac:dyDescent="0.25">
      <c r="A54" t="str">
        <f>"000010527"</f>
        <v>000010527</v>
      </c>
      <c r="B54" t="s">
        <v>248</v>
      </c>
      <c r="D54" t="s">
        <v>249</v>
      </c>
      <c r="G54" t="s">
        <v>56</v>
      </c>
      <c r="H54" t="s">
        <v>28</v>
      </c>
      <c r="I54" t="s">
        <v>250</v>
      </c>
    </row>
    <row r="55" spans="1:9" x14ac:dyDescent="0.25">
      <c r="A55" t="str">
        <f>"000010714"</f>
        <v>000010714</v>
      </c>
      <c r="B55" t="s">
        <v>251</v>
      </c>
      <c r="D55" t="s">
        <v>252</v>
      </c>
      <c r="G55" t="s">
        <v>253</v>
      </c>
      <c r="H55" t="s">
        <v>39</v>
      </c>
      <c r="I55" t="s">
        <v>254</v>
      </c>
    </row>
    <row r="56" spans="1:9" x14ac:dyDescent="0.25">
      <c r="A56" t="str">
        <f>"000012133"</f>
        <v>000012133</v>
      </c>
      <c r="B56" t="s">
        <v>255</v>
      </c>
      <c r="D56" t="s">
        <v>256</v>
      </c>
      <c r="G56" t="s">
        <v>38</v>
      </c>
      <c r="H56" t="s">
        <v>39</v>
      </c>
      <c r="I56" t="s">
        <v>257</v>
      </c>
    </row>
    <row r="57" spans="1:9" x14ac:dyDescent="0.25">
      <c r="A57" t="str">
        <f>"000010169"</f>
        <v>000010169</v>
      </c>
      <c r="B57" t="s">
        <v>258</v>
      </c>
      <c r="D57" t="s">
        <v>259</v>
      </c>
      <c r="E57" t="s">
        <v>260</v>
      </c>
      <c r="F57" t="s">
        <v>261</v>
      </c>
      <c r="G57" t="s">
        <v>262</v>
      </c>
      <c r="H57" t="s">
        <v>263</v>
      </c>
      <c r="I57" t="s">
        <v>264</v>
      </c>
    </row>
    <row r="58" spans="1:9" x14ac:dyDescent="0.25">
      <c r="A58" t="str">
        <f>"000010154"</f>
        <v>000010154</v>
      </c>
      <c r="B58" t="s">
        <v>265</v>
      </c>
      <c r="D58" t="s">
        <v>266</v>
      </c>
      <c r="G58" t="s">
        <v>267</v>
      </c>
      <c r="H58" t="s">
        <v>39</v>
      </c>
      <c r="I58" t="s">
        <v>268</v>
      </c>
    </row>
    <row r="59" spans="1:9" x14ac:dyDescent="0.25">
      <c r="A59" t="str">
        <f>"000010949"</f>
        <v>000010949</v>
      </c>
      <c r="B59" t="s">
        <v>269</v>
      </c>
      <c r="D59" t="s">
        <v>270</v>
      </c>
      <c r="E59" t="s">
        <v>271</v>
      </c>
      <c r="G59" t="s">
        <v>64</v>
      </c>
      <c r="H59" t="s">
        <v>39</v>
      </c>
      <c r="I59" t="s">
        <v>272</v>
      </c>
    </row>
    <row r="60" spans="1:9" x14ac:dyDescent="0.25">
      <c r="A60" t="str">
        <f>"000012604"</f>
        <v>000012604</v>
      </c>
      <c r="B60" t="s">
        <v>273</v>
      </c>
      <c r="D60" t="s">
        <v>274</v>
      </c>
      <c r="G60" t="s">
        <v>275</v>
      </c>
      <c r="H60" t="s">
        <v>23</v>
      </c>
      <c r="I60" t="s">
        <v>276</v>
      </c>
    </row>
    <row r="61" spans="1:9" x14ac:dyDescent="0.25">
      <c r="A61" t="str">
        <f>"000011313"</f>
        <v>000011313</v>
      </c>
      <c r="B61" t="s">
        <v>277</v>
      </c>
      <c r="D61" t="s">
        <v>278</v>
      </c>
      <c r="E61" t="s">
        <v>279</v>
      </c>
      <c r="G61" t="s">
        <v>64</v>
      </c>
      <c r="H61" t="s">
        <v>39</v>
      </c>
      <c r="I61" t="s">
        <v>280</v>
      </c>
    </row>
    <row r="62" spans="1:9" x14ac:dyDescent="0.25">
      <c r="A62" t="str">
        <f>"000010008"</f>
        <v>000010008</v>
      </c>
      <c r="B62" t="s">
        <v>281</v>
      </c>
      <c r="D62" t="s">
        <v>282</v>
      </c>
      <c r="G62" t="s">
        <v>64</v>
      </c>
      <c r="H62" t="s">
        <v>39</v>
      </c>
      <c r="I62" t="s">
        <v>283</v>
      </c>
    </row>
    <row r="63" spans="1:9" x14ac:dyDescent="0.25">
      <c r="A63" t="str">
        <f>"000011143"</f>
        <v>000011143</v>
      </c>
      <c r="B63" t="s">
        <v>284</v>
      </c>
      <c r="D63" t="s">
        <v>285</v>
      </c>
      <c r="G63" t="s">
        <v>286</v>
      </c>
      <c r="H63" t="s">
        <v>13</v>
      </c>
      <c r="I63" t="s">
        <v>287</v>
      </c>
    </row>
    <row r="64" spans="1:9" x14ac:dyDescent="0.25">
      <c r="A64" t="str">
        <f>"000808643"</f>
        <v>000808643</v>
      </c>
      <c r="B64" t="s">
        <v>288</v>
      </c>
      <c r="D64" t="s">
        <v>289</v>
      </c>
      <c r="E64" t="s">
        <v>290</v>
      </c>
      <c r="G64" t="s">
        <v>291</v>
      </c>
      <c r="H64" t="s">
        <v>182</v>
      </c>
      <c r="I64" t="s">
        <v>292</v>
      </c>
    </row>
    <row r="65" spans="1:9" x14ac:dyDescent="0.25">
      <c r="A65" t="str">
        <f>"000812716"</f>
        <v>000812716</v>
      </c>
      <c r="B65" t="s">
        <v>293</v>
      </c>
      <c r="D65" t="s">
        <v>294</v>
      </c>
      <c r="G65" t="s">
        <v>295</v>
      </c>
      <c r="H65" t="s">
        <v>296</v>
      </c>
      <c r="I65" t="s">
        <v>297</v>
      </c>
    </row>
    <row r="66" spans="1:9" x14ac:dyDescent="0.25">
      <c r="A66" t="str">
        <f>"000852178"</f>
        <v>000852178</v>
      </c>
      <c r="B66" t="s">
        <v>298</v>
      </c>
      <c r="D66" t="s">
        <v>299</v>
      </c>
      <c r="E66" t="s">
        <v>300</v>
      </c>
      <c r="G66" t="s">
        <v>90</v>
      </c>
      <c r="H66" t="s">
        <v>39</v>
      </c>
      <c r="I66" t="s">
        <v>301</v>
      </c>
    </row>
    <row r="67" spans="1:9" x14ac:dyDescent="0.25">
      <c r="A67" t="str">
        <f>"000809594"</f>
        <v>000809594</v>
      </c>
      <c r="B67" t="s">
        <v>302</v>
      </c>
      <c r="D67" t="s">
        <v>303</v>
      </c>
      <c r="G67" t="s">
        <v>304</v>
      </c>
      <c r="H67" t="s">
        <v>305</v>
      </c>
      <c r="I67" t="s">
        <v>306</v>
      </c>
    </row>
    <row r="68" spans="1:9" x14ac:dyDescent="0.25">
      <c r="A68" t="str">
        <f>"000832831"</f>
        <v>000832831</v>
      </c>
      <c r="B68" t="s">
        <v>307</v>
      </c>
      <c r="D68" t="s">
        <v>308</v>
      </c>
      <c r="G68" t="s">
        <v>309</v>
      </c>
      <c r="H68" t="s">
        <v>13</v>
      </c>
      <c r="I68" t="s">
        <v>310</v>
      </c>
    </row>
    <row r="69" spans="1:9" x14ac:dyDescent="0.25">
      <c r="A69" t="str">
        <f>"000057663"</f>
        <v>000057663</v>
      </c>
      <c r="B69" t="s">
        <v>311</v>
      </c>
      <c r="D69" t="s">
        <v>312</v>
      </c>
      <c r="G69" t="s">
        <v>64</v>
      </c>
      <c r="H69" t="s">
        <v>39</v>
      </c>
      <c r="I69" t="s">
        <v>313</v>
      </c>
    </row>
    <row r="70" spans="1:9" x14ac:dyDescent="0.25">
      <c r="A70" t="str">
        <f>"000057932"</f>
        <v>000057932</v>
      </c>
      <c r="B70" t="s">
        <v>314</v>
      </c>
      <c r="D70" t="s">
        <v>315</v>
      </c>
      <c r="G70" t="s">
        <v>316</v>
      </c>
      <c r="H70" t="s">
        <v>39</v>
      </c>
      <c r="I70" t="s">
        <v>317</v>
      </c>
    </row>
    <row r="71" spans="1:9" x14ac:dyDescent="0.25">
      <c r="A71" t="str">
        <f>"000893774"</f>
        <v>000893774</v>
      </c>
      <c r="B71" t="s">
        <v>318</v>
      </c>
      <c r="D71" t="s">
        <v>319</v>
      </c>
      <c r="G71" t="s">
        <v>60</v>
      </c>
      <c r="H71" t="s">
        <v>28</v>
      </c>
      <c r="I71" t="s">
        <v>320</v>
      </c>
    </row>
    <row r="72" spans="1:9" x14ac:dyDescent="0.25">
      <c r="A72" t="str">
        <f>"000813141"</f>
        <v>000813141</v>
      </c>
      <c r="B72" t="s">
        <v>321</v>
      </c>
      <c r="D72" t="s">
        <v>322</v>
      </c>
      <c r="G72" t="s">
        <v>323</v>
      </c>
      <c r="H72" t="s">
        <v>84</v>
      </c>
      <c r="I72" t="s">
        <v>324</v>
      </c>
    </row>
    <row r="73" spans="1:9" x14ac:dyDescent="0.25">
      <c r="A73" t="str">
        <f>"000802076"</f>
        <v>000802076</v>
      </c>
      <c r="B73" t="s">
        <v>325</v>
      </c>
      <c r="D73" t="s">
        <v>326</v>
      </c>
      <c r="G73" t="s">
        <v>291</v>
      </c>
      <c r="H73" t="s">
        <v>182</v>
      </c>
      <c r="I73" t="s">
        <v>327</v>
      </c>
    </row>
    <row r="74" spans="1:9" x14ac:dyDescent="0.25">
      <c r="A74" t="str">
        <f>"000814101"</f>
        <v>000814101</v>
      </c>
      <c r="B74" t="s">
        <v>328</v>
      </c>
      <c r="D74" t="s">
        <v>329</v>
      </c>
      <c r="E74" t="s">
        <v>330</v>
      </c>
      <c r="F74" t="s">
        <v>331</v>
      </c>
      <c r="G74" t="s">
        <v>267</v>
      </c>
      <c r="H74" t="s">
        <v>39</v>
      </c>
      <c r="I74" t="s">
        <v>332</v>
      </c>
    </row>
    <row r="75" spans="1:9" x14ac:dyDescent="0.25">
      <c r="A75" t="str">
        <f>"000872046"</f>
        <v>000872046</v>
      </c>
      <c r="B75" t="s">
        <v>333</v>
      </c>
      <c r="D75" t="s">
        <v>334</v>
      </c>
      <c r="G75" t="s">
        <v>64</v>
      </c>
      <c r="H75" t="s">
        <v>39</v>
      </c>
      <c r="I75" t="s">
        <v>335</v>
      </c>
    </row>
    <row r="76" spans="1:9" x14ac:dyDescent="0.25">
      <c r="A76" t="str">
        <f>"000873603"</f>
        <v>000873603</v>
      </c>
      <c r="B76" t="s">
        <v>336</v>
      </c>
      <c r="D76" t="s">
        <v>337</v>
      </c>
      <c r="E76" t="s">
        <v>338</v>
      </c>
      <c r="G76" t="s">
        <v>12</v>
      </c>
      <c r="H76" t="s">
        <v>13</v>
      </c>
      <c r="I76" t="s">
        <v>339</v>
      </c>
    </row>
    <row r="77" spans="1:9" x14ac:dyDescent="0.25">
      <c r="A77" t="str">
        <f>"000811563"</f>
        <v>000811563</v>
      </c>
      <c r="B77" t="s">
        <v>340</v>
      </c>
      <c r="D77" t="s">
        <v>341</v>
      </c>
      <c r="E77" t="s">
        <v>342</v>
      </c>
      <c r="F77" t="s">
        <v>343</v>
      </c>
      <c r="G77" t="s">
        <v>344</v>
      </c>
      <c r="H77" t="s">
        <v>51</v>
      </c>
      <c r="I77" t="s">
        <v>345</v>
      </c>
    </row>
    <row r="78" spans="1:9" x14ac:dyDescent="0.25">
      <c r="A78" t="str">
        <f>"000858530"</f>
        <v>000858530</v>
      </c>
      <c r="B78" t="s">
        <v>346</v>
      </c>
      <c r="D78" t="s">
        <v>347</v>
      </c>
      <c r="G78" t="s">
        <v>64</v>
      </c>
      <c r="H78" t="s">
        <v>39</v>
      </c>
      <c r="I78" t="s">
        <v>348</v>
      </c>
    </row>
    <row r="79" spans="1:9" x14ac:dyDescent="0.25">
      <c r="A79" t="str">
        <f>"000858559"</f>
        <v>000858559</v>
      </c>
      <c r="B79" t="s">
        <v>349</v>
      </c>
      <c r="D79" t="s">
        <v>350</v>
      </c>
      <c r="E79" t="s">
        <v>351</v>
      </c>
      <c r="G79" t="s">
        <v>64</v>
      </c>
      <c r="H79" t="s">
        <v>39</v>
      </c>
      <c r="I79" t="s">
        <v>352</v>
      </c>
    </row>
    <row r="80" spans="1:9" x14ac:dyDescent="0.25">
      <c r="A80" t="str">
        <f>"000802579"</f>
        <v>000802579</v>
      </c>
      <c r="B80" t="s">
        <v>353</v>
      </c>
      <c r="D80" t="s">
        <v>354</v>
      </c>
      <c r="E80" t="s">
        <v>355</v>
      </c>
      <c r="G80" t="s">
        <v>356</v>
      </c>
      <c r="I80">
        <v>163</v>
      </c>
    </row>
    <row r="81" spans="1:9" x14ac:dyDescent="0.25">
      <c r="A81" t="str">
        <f>"000809695"</f>
        <v>000809695</v>
      </c>
      <c r="B81" t="s">
        <v>357</v>
      </c>
      <c r="D81" t="s">
        <v>358</v>
      </c>
      <c r="E81" t="s">
        <v>359</v>
      </c>
      <c r="F81" t="s">
        <v>360</v>
      </c>
      <c r="G81" t="s">
        <v>130</v>
      </c>
      <c r="H81" t="s">
        <v>131</v>
      </c>
      <c r="I81" t="s">
        <v>361</v>
      </c>
    </row>
    <row r="82" spans="1:9" x14ac:dyDescent="0.25">
      <c r="A82" t="str">
        <f>"000832768"</f>
        <v>000832768</v>
      </c>
      <c r="B82" t="s">
        <v>362</v>
      </c>
      <c r="D82" t="s">
        <v>363</v>
      </c>
      <c r="G82" t="s">
        <v>364</v>
      </c>
      <c r="H82" t="s">
        <v>365</v>
      </c>
      <c r="I82" t="s">
        <v>366</v>
      </c>
    </row>
    <row r="83" spans="1:9" x14ac:dyDescent="0.25">
      <c r="A83" t="str">
        <f>"000882789"</f>
        <v>000882789</v>
      </c>
      <c r="B83" t="s">
        <v>367</v>
      </c>
      <c r="D83" t="s">
        <v>368</v>
      </c>
      <c r="G83" t="s">
        <v>64</v>
      </c>
      <c r="H83" t="s">
        <v>39</v>
      </c>
      <c r="I83" t="s">
        <v>369</v>
      </c>
    </row>
    <row r="84" spans="1:9" x14ac:dyDescent="0.25">
      <c r="A84" t="str">
        <f>"000157235"</f>
        <v>000157235</v>
      </c>
      <c r="B84" t="s">
        <v>370</v>
      </c>
      <c r="D84" t="s">
        <v>371</v>
      </c>
      <c r="G84" t="s">
        <v>372</v>
      </c>
      <c r="H84" t="s">
        <v>34</v>
      </c>
      <c r="I84" t="s">
        <v>373</v>
      </c>
    </row>
    <row r="85" spans="1:9" x14ac:dyDescent="0.25">
      <c r="A85" t="str">
        <f>"000156685"</f>
        <v>000156685</v>
      </c>
      <c r="B85" t="s">
        <v>374</v>
      </c>
      <c r="D85" t="s">
        <v>375</v>
      </c>
      <c r="E85" t="s">
        <v>376</v>
      </c>
      <c r="G85" t="s">
        <v>170</v>
      </c>
      <c r="H85" t="s">
        <v>171</v>
      </c>
      <c r="I85" t="s">
        <v>377</v>
      </c>
    </row>
    <row r="86" spans="1:9" x14ac:dyDescent="0.25">
      <c r="A86" t="str">
        <f>"000864810"</f>
        <v>000864810</v>
      </c>
      <c r="B86" t="s">
        <v>378</v>
      </c>
      <c r="D86" t="s">
        <v>379</v>
      </c>
      <c r="E86" t="s">
        <v>380</v>
      </c>
      <c r="F86" t="s">
        <v>381</v>
      </c>
      <c r="G86" t="s">
        <v>382</v>
      </c>
      <c r="H86" t="s">
        <v>383</v>
      </c>
      <c r="I86" t="s">
        <v>384</v>
      </c>
    </row>
    <row r="87" spans="1:9" x14ac:dyDescent="0.25">
      <c r="A87" t="str">
        <f>"000806849"</f>
        <v>000806849</v>
      </c>
      <c r="B87" t="s">
        <v>385</v>
      </c>
      <c r="D87" t="s">
        <v>386</v>
      </c>
      <c r="G87" t="s">
        <v>387</v>
      </c>
      <c r="H87" t="s">
        <v>182</v>
      </c>
      <c r="I87" t="s">
        <v>388</v>
      </c>
    </row>
    <row r="88" spans="1:9" x14ac:dyDescent="0.25">
      <c r="A88" t="str">
        <f>"000883470"</f>
        <v>000883470</v>
      </c>
      <c r="B88" t="s">
        <v>389</v>
      </c>
      <c r="D88" t="s">
        <v>390</v>
      </c>
      <c r="G88" t="s">
        <v>391</v>
      </c>
      <c r="H88" t="s">
        <v>296</v>
      </c>
      <c r="I88" t="s">
        <v>392</v>
      </c>
    </row>
    <row r="89" spans="1:9" x14ac:dyDescent="0.25">
      <c r="A89" t="str">
        <f>"000206877"</f>
        <v>000206877</v>
      </c>
      <c r="B89" t="s">
        <v>393</v>
      </c>
      <c r="D89" t="s">
        <v>394</v>
      </c>
      <c r="E89" t="s">
        <v>395</v>
      </c>
      <c r="G89" t="s">
        <v>396</v>
      </c>
      <c r="H89" t="s">
        <v>13</v>
      </c>
      <c r="I89" t="s">
        <v>397</v>
      </c>
    </row>
    <row r="90" spans="1:9" x14ac:dyDescent="0.25">
      <c r="A90" t="str">
        <f>"000902843"</f>
        <v>000902843</v>
      </c>
      <c r="B90" t="s">
        <v>398</v>
      </c>
      <c r="D90" t="s">
        <v>399</v>
      </c>
      <c r="E90" t="s">
        <v>400</v>
      </c>
      <c r="G90" t="s">
        <v>64</v>
      </c>
      <c r="H90" t="s">
        <v>39</v>
      </c>
      <c r="I90" t="s">
        <v>401</v>
      </c>
    </row>
    <row r="91" spans="1:9" x14ac:dyDescent="0.25">
      <c r="A91" t="str">
        <f>"000153295"</f>
        <v>000153295</v>
      </c>
      <c r="B91" t="s">
        <v>402</v>
      </c>
      <c r="D91" t="s">
        <v>403</v>
      </c>
      <c r="G91" t="s">
        <v>291</v>
      </c>
      <c r="H91" t="s">
        <v>182</v>
      </c>
      <c r="I91" t="s">
        <v>404</v>
      </c>
    </row>
    <row r="92" spans="1:9" x14ac:dyDescent="0.25">
      <c r="A92" t="str">
        <f>"000198795"</f>
        <v>000198795</v>
      </c>
      <c r="B92" t="s">
        <v>405</v>
      </c>
      <c r="D92" t="s">
        <v>406</v>
      </c>
      <c r="G92" t="s">
        <v>17</v>
      </c>
      <c r="H92" t="s">
        <v>13</v>
      </c>
      <c r="I92" t="s">
        <v>407</v>
      </c>
    </row>
    <row r="93" spans="1:9" x14ac:dyDescent="0.25">
      <c r="A93" t="str">
        <f>"000220144"</f>
        <v>000220144</v>
      </c>
      <c r="B93" t="s">
        <v>408</v>
      </c>
      <c r="D93" t="s">
        <v>409</v>
      </c>
      <c r="E93" t="s">
        <v>410</v>
      </c>
      <c r="G93" t="s">
        <v>165</v>
      </c>
      <c r="H93" t="s">
        <v>166</v>
      </c>
      <c r="I93" t="s">
        <v>411</v>
      </c>
    </row>
    <row r="94" spans="1:9" x14ac:dyDescent="0.25">
      <c r="A94" t="str">
        <f>"000558997"</f>
        <v>000558997</v>
      </c>
      <c r="B94" t="s">
        <v>412</v>
      </c>
      <c r="D94" t="s">
        <v>413</v>
      </c>
      <c r="E94" t="s">
        <v>414</v>
      </c>
      <c r="F94" t="s">
        <v>415</v>
      </c>
      <c r="G94" t="s">
        <v>130</v>
      </c>
      <c r="H94" t="s">
        <v>131</v>
      </c>
      <c r="I94" t="s">
        <v>416</v>
      </c>
    </row>
    <row r="95" spans="1:9" x14ac:dyDescent="0.25">
      <c r="A95" t="str">
        <f>"000581509"</f>
        <v>000581509</v>
      </c>
      <c r="B95" t="s">
        <v>417</v>
      </c>
      <c r="D95" t="s">
        <v>418</v>
      </c>
      <c r="E95" t="s">
        <v>419</v>
      </c>
      <c r="F95" t="s">
        <v>420</v>
      </c>
      <c r="G95" t="s">
        <v>64</v>
      </c>
      <c r="H95" t="s">
        <v>39</v>
      </c>
      <c r="I95" t="s">
        <v>421</v>
      </c>
    </row>
    <row r="96" spans="1:9" x14ac:dyDescent="0.25">
      <c r="A96" t="str">
        <f>"000887091"</f>
        <v>000887091</v>
      </c>
      <c r="B96" t="s">
        <v>422</v>
      </c>
      <c r="D96" t="s">
        <v>423</v>
      </c>
      <c r="G96" t="s">
        <v>12</v>
      </c>
      <c r="H96" t="s">
        <v>13</v>
      </c>
      <c r="I96" t="s">
        <v>424</v>
      </c>
    </row>
    <row r="97" spans="1:9" x14ac:dyDescent="0.25">
      <c r="A97" t="str">
        <f>"000174429"</f>
        <v>000174429</v>
      </c>
      <c r="B97" t="s">
        <v>425</v>
      </c>
      <c r="D97" t="s">
        <v>426</v>
      </c>
      <c r="E97" t="s">
        <v>427</v>
      </c>
      <c r="G97" t="s">
        <v>428</v>
      </c>
      <c r="H97" t="s">
        <v>131</v>
      </c>
      <c r="I97" t="s">
        <v>429</v>
      </c>
    </row>
    <row r="98" spans="1:9" x14ac:dyDescent="0.25">
      <c r="A98" t="str">
        <f>"000905960"</f>
        <v>000905960</v>
      </c>
      <c r="B98" t="s">
        <v>430</v>
      </c>
      <c r="D98" t="s">
        <v>431</v>
      </c>
      <c r="E98" t="s">
        <v>432</v>
      </c>
      <c r="G98" t="s">
        <v>275</v>
      </c>
      <c r="H98" t="s">
        <v>23</v>
      </c>
      <c r="I98" t="s">
        <v>433</v>
      </c>
    </row>
    <row r="99" spans="1:9" x14ac:dyDescent="0.25">
      <c r="A99" t="str">
        <f>"000602170"</f>
        <v>000602170</v>
      </c>
      <c r="B99" t="s">
        <v>434</v>
      </c>
      <c r="D99" t="s">
        <v>435</v>
      </c>
      <c r="E99" t="s">
        <v>436</v>
      </c>
      <c r="G99" t="s">
        <v>170</v>
      </c>
      <c r="H99" t="s">
        <v>171</v>
      </c>
      <c r="I99" t="s">
        <v>437</v>
      </c>
    </row>
    <row r="100" spans="1:9" x14ac:dyDescent="0.25">
      <c r="A100" t="str">
        <f>"000921671"</f>
        <v>000921671</v>
      </c>
      <c r="B100" t="s">
        <v>438</v>
      </c>
      <c r="D100" t="s">
        <v>439</v>
      </c>
      <c r="E100" t="s">
        <v>440</v>
      </c>
      <c r="F100" t="s">
        <v>441</v>
      </c>
      <c r="G100" t="s">
        <v>442</v>
      </c>
      <c r="H100" t="s">
        <v>100</v>
      </c>
      <c r="I100" t="s">
        <v>443</v>
      </c>
    </row>
    <row r="101" spans="1:9" x14ac:dyDescent="0.25">
      <c r="A101" t="str">
        <f>"000902792"</f>
        <v>000902792</v>
      </c>
      <c r="B101" t="s">
        <v>444</v>
      </c>
      <c r="D101" t="s">
        <v>445</v>
      </c>
      <c r="G101" t="s">
        <v>242</v>
      </c>
      <c r="H101" t="s">
        <v>161</v>
      </c>
      <c r="I101">
        <v>28272</v>
      </c>
    </row>
    <row r="102" spans="1:9" x14ac:dyDescent="0.25">
      <c r="A102" t="str">
        <f>"000192891"</f>
        <v>000192891</v>
      </c>
      <c r="B102" t="s">
        <v>446</v>
      </c>
      <c r="D102" t="s">
        <v>447</v>
      </c>
      <c r="G102" t="s">
        <v>64</v>
      </c>
      <c r="H102" t="s">
        <v>39</v>
      </c>
      <c r="I102" t="s">
        <v>448</v>
      </c>
    </row>
    <row r="103" spans="1:9" x14ac:dyDescent="0.25">
      <c r="A103" t="str">
        <f>"000174282"</f>
        <v>000174282</v>
      </c>
      <c r="B103" t="s">
        <v>449</v>
      </c>
      <c r="D103" t="s">
        <v>450</v>
      </c>
      <c r="G103" t="s">
        <v>242</v>
      </c>
      <c r="H103" t="s">
        <v>161</v>
      </c>
      <c r="I103" t="s">
        <v>451</v>
      </c>
    </row>
    <row r="104" spans="1:9" x14ac:dyDescent="0.25">
      <c r="A104" t="str">
        <f>"000160000"</f>
        <v>000160000</v>
      </c>
      <c r="B104" t="s">
        <v>452</v>
      </c>
      <c r="D104" t="s">
        <v>453</v>
      </c>
      <c r="E104" t="s">
        <v>454</v>
      </c>
      <c r="G104" t="s">
        <v>455</v>
      </c>
      <c r="H104" t="s">
        <v>188</v>
      </c>
      <c r="I104" t="s">
        <v>456</v>
      </c>
    </row>
    <row r="105" spans="1:9" x14ac:dyDescent="0.25">
      <c r="A105" t="str">
        <f>"000323031"</f>
        <v>000323031</v>
      </c>
      <c r="B105" t="s">
        <v>457</v>
      </c>
      <c r="D105" t="s">
        <v>458</v>
      </c>
      <c r="E105" t="s">
        <v>459</v>
      </c>
      <c r="G105" t="s">
        <v>64</v>
      </c>
      <c r="H105" t="s">
        <v>39</v>
      </c>
      <c r="I105" t="s">
        <v>460</v>
      </c>
    </row>
    <row r="106" spans="1:9" x14ac:dyDescent="0.25">
      <c r="A106" t="str">
        <f>"000169495"</f>
        <v>000169495</v>
      </c>
      <c r="B106" t="s">
        <v>461</v>
      </c>
      <c r="D106" t="s">
        <v>462</v>
      </c>
      <c r="E106" t="s">
        <v>463</v>
      </c>
      <c r="G106" t="s">
        <v>64</v>
      </c>
      <c r="H106" t="s">
        <v>39</v>
      </c>
      <c r="I106" t="s">
        <v>464</v>
      </c>
    </row>
    <row r="107" spans="1:9" x14ac:dyDescent="0.25">
      <c r="A107" t="str">
        <f>"000921097"</f>
        <v>000921097</v>
      </c>
      <c r="B107" t="s">
        <v>465</v>
      </c>
      <c r="D107" t="s">
        <v>466</v>
      </c>
      <c r="G107" t="s">
        <v>467</v>
      </c>
      <c r="H107" t="s">
        <v>468</v>
      </c>
      <c r="I107" t="s">
        <v>469</v>
      </c>
    </row>
    <row r="108" spans="1:9" x14ac:dyDescent="0.25">
      <c r="A108" t="str">
        <f>"000324261"</f>
        <v>000324261</v>
      </c>
      <c r="B108" t="s">
        <v>470</v>
      </c>
      <c r="D108" t="s">
        <v>471</v>
      </c>
      <c r="E108" t="s">
        <v>472</v>
      </c>
      <c r="G108" t="s">
        <v>291</v>
      </c>
      <c r="H108" t="s">
        <v>182</v>
      </c>
      <c r="I108" t="s">
        <v>473</v>
      </c>
    </row>
    <row r="109" spans="1:9" x14ac:dyDescent="0.25">
      <c r="A109" t="str">
        <f>"000324280"</f>
        <v>000324280</v>
      </c>
      <c r="B109" t="s">
        <v>474</v>
      </c>
      <c r="D109" t="s">
        <v>475</v>
      </c>
      <c r="G109" t="s">
        <v>476</v>
      </c>
      <c r="H109" t="s">
        <v>477</v>
      </c>
      <c r="I109" t="s">
        <v>478</v>
      </c>
    </row>
    <row r="110" spans="1:9" x14ac:dyDescent="0.25">
      <c r="A110" t="str">
        <f>"000322532"</f>
        <v>000322532</v>
      </c>
      <c r="B110" t="s">
        <v>479</v>
      </c>
      <c r="D110" t="s">
        <v>480</v>
      </c>
      <c r="G110" t="s">
        <v>481</v>
      </c>
      <c r="H110" t="s">
        <v>75</v>
      </c>
      <c r="I110" t="s">
        <v>482</v>
      </c>
    </row>
    <row r="111" spans="1:9" x14ac:dyDescent="0.25">
      <c r="A111" t="str">
        <f>"000322362"</f>
        <v>000322362</v>
      </c>
      <c r="B111" t="s">
        <v>483</v>
      </c>
      <c r="D111" t="s">
        <v>484</v>
      </c>
      <c r="G111" t="s">
        <v>56</v>
      </c>
      <c r="H111" t="s">
        <v>28</v>
      </c>
      <c r="I111" t="s">
        <v>485</v>
      </c>
    </row>
    <row r="112" spans="1:9" x14ac:dyDescent="0.25">
      <c r="A112" t="str">
        <f>"000322961"</f>
        <v>000322961</v>
      </c>
      <c r="B112" t="s">
        <v>486</v>
      </c>
      <c r="D112" t="s">
        <v>487</v>
      </c>
      <c r="G112" t="s">
        <v>488</v>
      </c>
      <c r="H112" t="s">
        <v>161</v>
      </c>
      <c r="I112" t="s">
        <v>489</v>
      </c>
    </row>
    <row r="113" spans="1:9" x14ac:dyDescent="0.25">
      <c r="A113" t="str">
        <f>"000324132"</f>
        <v>000324132</v>
      </c>
      <c r="B113" t="s">
        <v>490</v>
      </c>
      <c r="D113" t="s">
        <v>491</v>
      </c>
      <c r="E113" t="s">
        <v>492</v>
      </c>
      <c r="G113" t="s">
        <v>493</v>
      </c>
      <c r="H113" t="s">
        <v>39</v>
      </c>
      <c r="I113" t="s">
        <v>494</v>
      </c>
    </row>
    <row r="114" spans="1:9" x14ac:dyDescent="0.25">
      <c r="A114" t="str">
        <f>"000322381"</f>
        <v>000322381</v>
      </c>
      <c r="B114" t="s">
        <v>495</v>
      </c>
      <c r="D114" t="s">
        <v>496</v>
      </c>
      <c r="E114" t="s">
        <v>497</v>
      </c>
      <c r="F114" t="s">
        <v>498</v>
      </c>
      <c r="G114" t="s">
        <v>64</v>
      </c>
      <c r="H114" t="s">
        <v>39</v>
      </c>
      <c r="I114" t="s">
        <v>499</v>
      </c>
    </row>
    <row r="115" spans="1:9" x14ac:dyDescent="0.25">
      <c r="A115" t="str">
        <f>"000322649"</f>
        <v>000322649</v>
      </c>
      <c r="B115" t="s">
        <v>500</v>
      </c>
      <c r="D115" t="s">
        <v>501</v>
      </c>
      <c r="E115" t="s">
        <v>502</v>
      </c>
      <c r="G115" t="s">
        <v>60</v>
      </c>
      <c r="H115" t="s">
        <v>28</v>
      </c>
      <c r="I115" t="s">
        <v>503</v>
      </c>
    </row>
    <row r="116" spans="1:9" x14ac:dyDescent="0.25">
      <c r="A116" t="str">
        <f>"000324194"</f>
        <v>000324194</v>
      </c>
      <c r="B116" t="s">
        <v>504</v>
      </c>
      <c r="D116" t="s">
        <v>505</v>
      </c>
      <c r="E116" t="s">
        <v>506</v>
      </c>
      <c r="G116" t="s">
        <v>507</v>
      </c>
      <c r="H116" t="s">
        <v>39</v>
      </c>
      <c r="I116" t="s">
        <v>508</v>
      </c>
    </row>
    <row r="117" spans="1:9" x14ac:dyDescent="0.25">
      <c r="A117" t="str">
        <f>"000324221"</f>
        <v>000324221</v>
      </c>
      <c r="B117" t="s">
        <v>509</v>
      </c>
      <c r="D117" t="s">
        <v>510</v>
      </c>
      <c r="E117" t="s">
        <v>511</v>
      </c>
      <c r="G117" t="s">
        <v>512</v>
      </c>
      <c r="H117" t="s">
        <v>513</v>
      </c>
      <c r="I117" t="s">
        <v>514</v>
      </c>
    </row>
    <row r="118" spans="1:9" x14ac:dyDescent="0.25">
      <c r="A118" t="str">
        <f>"000322613"</f>
        <v>000322613</v>
      </c>
      <c r="B118" t="s">
        <v>515</v>
      </c>
      <c r="D118" t="s">
        <v>516</v>
      </c>
      <c r="E118" t="s">
        <v>517</v>
      </c>
      <c r="G118" t="s">
        <v>518</v>
      </c>
      <c r="H118" t="s">
        <v>51</v>
      </c>
      <c r="I118" t="s">
        <v>519</v>
      </c>
    </row>
    <row r="119" spans="1:9" x14ac:dyDescent="0.25">
      <c r="A119" t="str">
        <f>"000322622"</f>
        <v>000322622</v>
      </c>
      <c r="B119" t="s">
        <v>520</v>
      </c>
      <c r="D119" t="s">
        <v>521</v>
      </c>
      <c r="E119" t="s">
        <v>522</v>
      </c>
      <c r="G119" t="s">
        <v>523</v>
      </c>
      <c r="H119" t="s">
        <v>524</v>
      </c>
      <c r="I119" t="s">
        <v>525</v>
      </c>
    </row>
    <row r="120" spans="1:9" x14ac:dyDescent="0.25">
      <c r="A120" t="str">
        <f>"000324079"</f>
        <v>000324079</v>
      </c>
      <c r="B120" t="s">
        <v>526</v>
      </c>
      <c r="D120" t="s">
        <v>527</v>
      </c>
      <c r="G120" t="s">
        <v>64</v>
      </c>
      <c r="H120" t="s">
        <v>39</v>
      </c>
      <c r="I120" t="s">
        <v>528</v>
      </c>
    </row>
    <row r="121" spans="1:9" x14ac:dyDescent="0.25">
      <c r="A121" t="str">
        <f>"000322737"</f>
        <v>000322737</v>
      </c>
      <c r="B121" t="s">
        <v>529</v>
      </c>
      <c r="D121" t="s">
        <v>530</v>
      </c>
      <c r="E121" t="s">
        <v>531</v>
      </c>
      <c r="G121" t="s">
        <v>17</v>
      </c>
      <c r="H121" t="s">
        <v>13</v>
      </c>
      <c r="I121" t="s">
        <v>532</v>
      </c>
    </row>
    <row r="122" spans="1:9" x14ac:dyDescent="0.25">
      <c r="A122" t="str">
        <f>"000211532"</f>
        <v>000211532</v>
      </c>
      <c r="B122" t="s">
        <v>533</v>
      </c>
      <c r="D122" t="s">
        <v>534</v>
      </c>
      <c r="G122" t="s">
        <v>535</v>
      </c>
      <c r="H122" t="s">
        <v>13</v>
      </c>
      <c r="I122" t="s">
        <v>536</v>
      </c>
    </row>
    <row r="123" spans="1:9" x14ac:dyDescent="0.25">
      <c r="A123" t="str">
        <f>"000219841"</f>
        <v>000219841</v>
      </c>
      <c r="B123" t="s">
        <v>537</v>
      </c>
      <c r="D123" t="s">
        <v>538</v>
      </c>
      <c r="G123" t="s">
        <v>539</v>
      </c>
      <c r="H123" t="s">
        <v>540</v>
      </c>
      <c r="I123" t="s">
        <v>541</v>
      </c>
    </row>
    <row r="124" spans="1:9" x14ac:dyDescent="0.25">
      <c r="A124" t="str">
        <f>"000232249"</f>
        <v>000232249</v>
      </c>
      <c r="B124" t="s">
        <v>542</v>
      </c>
      <c r="D124" t="s">
        <v>543</v>
      </c>
      <c r="E124" t="s">
        <v>544</v>
      </c>
      <c r="G124" t="s">
        <v>545</v>
      </c>
      <c r="H124" t="s">
        <v>546</v>
      </c>
      <c r="I124" t="s">
        <v>547</v>
      </c>
    </row>
    <row r="125" spans="1:9" x14ac:dyDescent="0.25">
      <c r="A125" t="str">
        <f>"000263183"</f>
        <v>000263183</v>
      </c>
      <c r="B125" t="s">
        <v>548</v>
      </c>
      <c r="D125" t="s">
        <v>549</v>
      </c>
      <c r="G125" t="s">
        <v>550</v>
      </c>
      <c r="H125" t="s">
        <v>39</v>
      </c>
      <c r="I125" t="s">
        <v>551</v>
      </c>
    </row>
    <row r="126" spans="1:9" x14ac:dyDescent="0.25">
      <c r="A126" t="str">
        <f>"000278167"</f>
        <v>000278167</v>
      </c>
      <c r="B126" t="s">
        <v>552</v>
      </c>
      <c r="D126" t="s">
        <v>553</v>
      </c>
      <c r="E126" t="s">
        <v>554</v>
      </c>
      <c r="G126" t="s">
        <v>555</v>
      </c>
      <c r="I126" t="s">
        <v>556</v>
      </c>
    </row>
    <row r="127" spans="1:9" x14ac:dyDescent="0.25">
      <c r="A127" t="str">
        <f>"000299621"</f>
        <v>000299621</v>
      </c>
      <c r="B127" t="s">
        <v>557</v>
      </c>
      <c r="D127" t="s">
        <v>558</v>
      </c>
      <c r="G127" t="s">
        <v>165</v>
      </c>
      <c r="H127" t="s">
        <v>166</v>
      </c>
      <c r="I127" t="s">
        <v>559</v>
      </c>
    </row>
    <row r="128" spans="1:9" x14ac:dyDescent="0.25">
      <c r="A128" t="str">
        <f>"000289357"</f>
        <v>000289357</v>
      </c>
      <c r="B128" t="s">
        <v>560</v>
      </c>
      <c r="D128" t="s">
        <v>561</v>
      </c>
      <c r="G128" t="s">
        <v>562</v>
      </c>
      <c r="H128" t="s">
        <v>166</v>
      </c>
      <c r="I128" t="s">
        <v>563</v>
      </c>
    </row>
    <row r="129" spans="1:9" x14ac:dyDescent="0.25">
      <c r="A129" t="str">
        <f>"000273443"</f>
        <v>000273443</v>
      </c>
      <c r="B129" t="s">
        <v>564</v>
      </c>
      <c r="D129" t="s">
        <v>565</v>
      </c>
      <c r="G129" t="s">
        <v>566</v>
      </c>
      <c r="I129" t="s">
        <v>567</v>
      </c>
    </row>
    <row r="130" spans="1:9" x14ac:dyDescent="0.25">
      <c r="A130" t="str">
        <f>"000288994"</f>
        <v>000288994</v>
      </c>
      <c r="B130" t="s">
        <v>568</v>
      </c>
      <c r="D130" t="s">
        <v>569</v>
      </c>
      <c r="E130" t="s">
        <v>570</v>
      </c>
      <c r="G130" t="s">
        <v>64</v>
      </c>
      <c r="H130" t="s">
        <v>39</v>
      </c>
      <c r="I130" t="s">
        <v>571</v>
      </c>
    </row>
    <row r="131" spans="1:9" x14ac:dyDescent="0.25">
      <c r="A131" t="str">
        <f>"000290295"</f>
        <v>000290295</v>
      </c>
      <c r="B131" t="s">
        <v>572</v>
      </c>
      <c r="D131" t="s">
        <v>573</v>
      </c>
      <c r="G131" t="s">
        <v>574</v>
      </c>
      <c r="H131" t="s">
        <v>75</v>
      </c>
      <c r="I131" t="s">
        <v>575</v>
      </c>
    </row>
    <row r="132" spans="1:9" x14ac:dyDescent="0.25">
      <c r="A132" t="str">
        <f>"000354714"</f>
        <v>000354714</v>
      </c>
      <c r="B132" t="s">
        <v>576</v>
      </c>
      <c r="D132" t="s">
        <v>577</v>
      </c>
      <c r="G132" t="s">
        <v>64</v>
      </c>
      <c r="H132" t="s">
        <v>39</v>
      </c>
      <c r="I132" t="s">
        <v>578</v>
      </c>
    </row>
    <row r="133" spans="1:9" x14ac:dyDescent="0.25">
      <c r="A133" t="str">
        <f>"000375369"</f>
        <v>000375369</v>
      </c>
      <c r="B133" t="s">
        <v>579</v>
      </c>
      <c r="D133" t="s">
        <v>580</v>
      </c>
      <c r="E133" t="s">
        <v>581</v>
      </c>
      <c r="G133" t="s">
        <v>582</v>
      </c>
      <c r="H133" t="s">
        <v>540</v>
      </c>
      <c r="I133" t="s">
        <v>583</v>
      </c>
    </row>
    <row r="134" spans="1:9" x14ac:dyDescent="0.25">
      <c r="A134" t="str">
        <f>"000377779"</f>
        <v>000377779</v>
      </c>
      <c r="B134" t="s">
        <v>584</v>
      </c>
      <c r="D134" t="s">
        <v>585</v>
      </c>
      <c r="E134" t="s">
        <v>586</v>
      </c>
      <c r="G134" t="s">
        <v>587</v>
      </c>
      <c r="H134" t="s">
        <v>296</v>
      </c>
      <c r="I134" t="s">
        <v>588</v>
      </c>
    </row>
    <row r="135" spans="1:9" x14ac:dyDescent="0.25">
      <c r="A135" t="str">
        <f>"000408487"</f>
        <v>000408487</v>
      </c>
      <c r="B135" t="s">
        <v>589</v>
      </c>
      <c r="D135" t="s">
        <v>590</v>
      </c>
      <c r="G135" t="s">
        <v>591</v>
      </c>
      <c r="H135" t="s">
        <v>39</v>
      </c>
      <c r="I135" t="s">
        <v>592</v>
      </c>
    </row>
    <row r="136" spans="1:9" x14ac:dyDescent="0.25">
      <c r="A136" t="str">
        <f>"000392920"</f>
        <v>000392920</v>
      </c>
      <c r="B136" t="s">
        <v>593</v>
      </c>
      <c r="D136" t="s">
        <v>594</v>
      </c>
      <c r="G136" t="s">
        <v>595</v>
      </c>
      <c r="H136" t="s">
        <v>365</v>
      </c>
      <c r="I136" t="s">
        <v>596</v>
      </c>
    </row>
    <row r="137" spans="1:9" x14ac:dyDescent="0.25">
      <c r="A137" t="str">
        <f>"000385023"</f>
        <v>000385023</v>
      </c>
      <c r="B137" t="s">
        <v>597</v>
      </c>
      <c r="D137" t="s">
        <v>598</v>
      </c>
      <c r="E137" t="s">
        <v>599</v>
      </c>
      <c r="F137" t="s">
        <v>600</v>
      </c>
      <c r="G137" t="s">
        <v>64</v>
      </c>
      <c r="H137" t="s">
        <v>39</v>
      </c>
      <c r="I137" t="s">
        <v>601</v>
      </c>
    </row>
    <row r="138" spans="1:9" x14ac:dyDescent="0.25">
      <c r="A138" t="str">
        <f>"000386915"</f>
        <v>000386915</v>
      </c>
      <c r="B138" t="s">
        <v>602</v>
      </c>
      <c r="D138" t="s">
        <v>603</v>
      </c>
      <c r="G138" t="s">
        <v>64</v>
      </c>
      <c r="H138" t="s">
        <v>39</v>
      </c>
      <c r="I138" t="s">
        <v>604</v>
      </c>
    </row>
    <row r="139" spans="1:9" x14ac:dyDescent="0.25">
      <c r="A139" t="str">
        <f>"000402882"</f>
        <v>000402882</v>
      </c>
      <c r="B139" t="s">
        <v>605</v>
      </c>
      <c r="D139" t="s">
        <v>606</v>
      </c>
      <c r="E139" t="s">
        <v>607</v>
      </c>
      <c r="G139" t="s">
        <v>608</v>
      </c>
      <c r="H139" t="s">
        <v>477</v>
      </c>
      <c r="I139" t="s">
        <v>609</v>
      </c>
    </row>
    <row r="140" spans="1:9" x14ac:dyDescent="0.25">
      <c r="A140" t="str">
        <f>"000417168"</f>
        <v>000417168</v>
      </c>
      <c r="B140" t="s">
        <v>610</v>
      </c>
      <c r="D140" t="s">
        <v>611</v>
      </c>
      <c r="E140" t="s">
        <v>612</v>
      </c>
      <c r="G140" t="s">
        <v>613</v>
      </c>
      <c r="H140" t="s">
        <v>614</v>
      </c>
      <c r="I140" t="s">
        <v>615</v>
      </c>
    </row>
    <row r="141" spans="1:9" x14ac:dyDescent="0.25">
      <c r="A141" t="str">
        <f>"000435126"</f>
        <v>000435126</v>
      </c>
      <c r="B141" t="s">
        <v>616</v>
      </c>
      <c r="D141" t="s">
        <v>617</v>
      </c>
      <c r="G141" t="s">
        <v>64</v>
      </c>
      <c r="H141" t="s">
        <v>39</v>
      </c>
      <c r="I141" t="s">
        <v>618</v>
      </c>
    </row>
    <row r="142" spans="1:9" x14ac:dyDescent="0.25">
      <c r="A142" t="str">
        <f>"000438557"</f>
        <v>000438557</v>
      </c>
      <c r="B142" t="s">
        <v>619</v>
      </c>
      <c r="D142" t="s">
        <v>620</v>
      </c>
      <c r="G142" t="s">
        <v>64</v>
      </c>
      <c r="H142" t="s">
        <v>39</v>
      </c>
      <c r="I142" t="s">
        <v>621</v>
      </c>
    </row>
    <row r="143" spans="1:9" x14ac:dyDescent="0.25">
      <c r="A143" t="str">
        <f>"000458286"</f>
        <v>000458286</v>
      </c>
      <c r="B143" t="s">
        <v>622</v>
      </c>
      <c r="D143" t="s">
        <v>623</v>
      </c>
      <c r="G143" t="s">
        <v>344</v>
      </c>
      <c r="H143" t="s">
        <v>51</v>
      </c>
      <c r="I143" t="s">
        <v>624</v>
      </c>
    </row>
    <row r="144" spans="1:9" x14ac:dyDescent="0.25">
      <c r="A144" t="str">
        <f>"000474035"</f>
        <v>000474035</v>
      </c>
      <c r="B144" t="s">
        <v>625</v>
      </c>
      <c r="D144" t="s">
        <v>626</v>
      </c>
      <c r="E144" t="s">
        <v>627</v>
      </c>
      <c r="G144" t="s">
        <v>628</v>
      </c>
      <c r="I144">
        <v>75724</v>
      </c>
    </row>
    <row r="145" spans="1:9" x14ac:dyDescent="0.25">
      <c r="A145" t="str">
        <f>"000446720"</f>
        <v>000446720</v>
      </c>
      <c r="B145" t="s">
        <v>629</v>
      </c>
      <c r="D145" t="s">
        <v>630</v>
      </c>
      <c r="G145" t="s">
        <v>64</v>
      </c>
      <c r="H145" t="s">
        <v>39</v>
      </c>
      <c r="I145" t="s">
        <v>631</v>
      </c>
    </row>
    <row r="146" spans="1:9" x14ac:dyDescent="0.25">
      <c r="A146" t="str">
        <f>"000461790"</f>
        <v>000461790</v>
      </c>
      <c r="B146" t="s">
        <v>632</v>
      </c>
      <c r="D146" t="s">
        <v>633</v>
      </c>
      <c r="G146" t="s">
        <v>64</v>
      </c>
      <c r="H146" t="s">
        <v>39</v>
      </c>
      <c r="I146" t="s">
        <v>634</v>
      </c>
    </row>
    <row r="147" spans="1:9" x14ac:dyDescent="0.25">
      <c r="A147" t="str">
        <f>"000475650"</f>
        <v>000475650</v>
      </c>
      <c r="B147" t="s">
        <v>635</v>
      </c>
      <c r="D147" t="s">
        <v>636</v>
      </c>
      <c r="G147" t="s">
        <v>64</v>
      </c>
      <c r="H147" t="s">
        <v>39</v>
      </c>
      <c r="I147" t="s">
        <v>637</v>
      </c>
    </row>
    <row r="148" spans="1:9" x14ac:dyDescent="0.25">
      <c r="A148" t="str">
        <f>"000627501"</f>
        <v>000627501</v>
      </c>
      <c r="B148" t="s">
        <v>638</v>
      </c>
      <c r="D148" t="s">
        <v>639</v>
      </c>
      <c r="E148" t="s">
        <v>640</v>
      </c>
      <c r="G148" t="s">
        <v>64</v>
      </c>
      <c r="H148" t="s">
        <v>39</v>
      </c>
      <c r="I148" t="s">
        <v>641</v>
      </c>
    </row>
    <row r="149" spans="1:9" x14ac:dyDescent="0.25">
      <c r="A149" t="str">
        <f>"000478582"</f>
        <v>000478582</v>
      </c>
      <c r="B149" t="s">
        <v>642</v>
      </c>
      <c r="D149" t="s">
        <v>643</v>
      </c>
      <c r="G149" t="s">
        <v>64</v>
      </c>
      <c r="H149" t="s">
        <v>39</v>
      </c>
      <c r="I149" t="s">
        <v>644</v>
      </c>
    </row>
    <row r="150" spans="1:9" x14ac:dyDescent="0.25">
      <c r="A150" t="str">
        <f>"000628385"</f>
        <v>000628385</v>
      </c>
      <c r="B150" t="s">
        <v>645</v>
      </c>
      <c r="D150" t="s">
        <v>646</v>
      </c>
      <c r="G150" t="s">
        <v>64</v>
      </c>
      <c r="H150" t="s">
        <v>39</v>
      </c>
      <c r="I150" t="s">
        <v>647</v>
      </c>
    </row>
    <row r="151" spans="1:9" x14ac:dyDescent="0.25">
      <c r="A151" t="str">
        <f>"000659443"</f>
        <v>000659443</v>
      </c>
      <c r="B151" t="s">
        <v>648</v>
      </c>
      <c r="D151" t="s">
        <v>649</v>
      </c>
      <c r="G151" t="s">
        <v>64</v>
      </c>
      <c r="H151" t="s">
        <v>39</v>
      </c>
      <c r="I151" t="s">
        <v>650</v>
      </c>
    </row>
    <row r="152" spans="1:9" x14ac:dyDescent="0.25">
      <c r="A152" t="str">
        <f>"000709525"</f>
        <v>000709525</v>
      </c>
      <c r="B152" t="s">
        <v>651</v>
      </c>
      <c r="D152" t="s">
        <v>652</v>
      </c>
      <c r="G152" t="s">
        <v>653</v>
      </c>
      <c r="H152" t="s">
        <v>51</v>
      </c>
      <c r="I152" t="s">
        <v>654</v>
      </c>
    </row>
    <row r="153" spans="1:9" x14ac:dyDescent="0.25">
      <c r="A153" t="str">
        <f>"000690407"</f>
        <v>000690407</v>
      </c>
      <c r="B153" t="s">
        <v>655</v>
      </c>
      <c r="D153" t="s">
        <v>656</v>
      </c>
      <c r="E153" t="s">
        <v>657</v>
      </c>
      <c r="G153" t="s">
        <v>60</v>
      </c>
      <c r="H153" t="s">
        <v>28</v>
      </c>
      <c r="I153" t="s">
        <v>658</v>
      </c>
    </row>
    <row r="154" spans="1:9" x14ac:dyDescent="0.25">
      <c r="A154" t="str">
        <f>"000708493"</f>
        <v>000708493</v>
      </c>
      <c r="B154" t="s">
        <v>659</v>
      </c>
      <c r="D154" t="s">
        <v>660</v>
      </c>
      <c r="G154" t="s">
        <v>295</v>
      </c>
      <c r="H154" t="s">
        <v>296</v>
      </c>
      <c r="I154" t="s">
        <v>661</v>
      </c>
    </row>
    <row r="155" spans="1:9" x14ac:dyDescent="0.25">
      <c r="A155" t="str">
        <f>"000689025"</f>
        <v>000689025</v>
      </c>
      <c r="B155" t="s">
        <v>662</v>
      </c>
      <c r="D155" t="s">
        <v>663</v>
      </c>
      <c r="E155" t="s">
        <v>664</v>
      </c>
      <c r="G155" t="s">
        <v>267</v>
      </c>
      <c r="H155" t="s">
        <v>39</v>
      </c>
      <c r="I155" t="s">
        <v>665</v>
      </c>
    </row>
    <row r="156" spans="1:9" x14ac:dyDescent="0.25">
      <c r="A156" t="str">
        <f>"000688008"</f>
        <v>000688008</v>
      </c>
      <c r="B156" t="s">
        <v>666</v>
      </c>
      <c r="D156" t="s">
        <v>667</v>
      </c>
      <c r="E156" t="s">
        <v>668</v>
      </c>
      <c r="G156" t="s">
        <v>253</v>
      </c>
      <c r="H156" t="s">
        <v>28</v>
      </c>
      <c r="I156" t="s">
        <v>669</v>
      </c>
    </row>
    <row r="157" spans="1:9" x14ac:dyDescent="0.25">
      <c r="A157" t="str">
        <f>"000722574"</f>
        <v>000722574</v>
      </c>
      <c r="B157" t="s">
        <v>670</v>
      </c>
      <c r="D157" t="s">
        <v>671</v>
      </c>
      <c r="G157" t="s">
        <v>523</v>
      </c>
      <c r="H157" t="s">
        <v>524</v>
      </c>
      <c r="I157" t="s">
        <v>672</v>
      </c>
    </row>
    <row r="158" spans="1:9" x14ac:dyDescent="0.25">
      <c r="A158" t="str">
        <f>"000737088"</f>
        <v>000737088</v>
      </c>
      <c r="B158" t="s">
        <v>673</v>
      </c>
      <c r="D158" t="s">
        <v>674</v>
      </c>
      <c r="G158" t="s">
        <v>83</v>
      </c>
      <c r="H158" t="s">
        <v>84</v>
      </c>
      <c r="I158" t="s">
        <v>675</v>
      </c>
    </row>
    <row r="159" spans="1:9" x14ac:dyDescent="0.25">
      <c r="A159" t="str">
        <f>"000739769"</f>
        <v>000739769</v>
      </c>
      <c r="B159" t="s">
        <v>676</v>
      </c>
      <c r="D159" t="s">
        <v>677</v>
      </c>
      <c r="G159" t="s">
        <v>678</v>
      </c>
      <c r="H159" t="s">
        <v>28</v>
      </c>
      <c r="I159" t="s">
        <v>679</v>
      </c>
    </row>
    <row r="160" spans="1:9" x14ac:dyDescent="0.25">
      <c r="A160" t="str">
        <f>"000736724"</f>
        <v>000736724</v>
      </c>
      <c r="B160" t="s">
        <v>680</v>
      </c>
      <c r="D160" t="s">
        <v>681</v>
      </c>
      <c r="E160" t="s">
        <v>682</v>
      </c>
      <c r="F160" t="s">
        <v>683</v>
      </c>
      <c r="G160" t="s">
        <v>684</v>
      </c>
      <c r="H160" t="s">
        <v>23</v>
      </c>
      <c r="I160" t="s">
        <v>685</v>
      </c>
    </row>
    <row r="161" spans="1:9" x14ac:dyDescent="0.25">
      <c r="A161" t="str">
        <f>"000758550"</f>
        <v>000758550</v>
      </c>
      <c r="B161" t="s">
        <v>686</v>
      </c>
      <c r="D161" t="s">
        <v>687</v>
      </c>
      <c r="G161" t="s">
        <v>688</v>
      </c>
      <c r="H161" t="s">
        <v>39</v>
      </c>
      <c r="I161" t="s">
        <v>689</v>
      </c>
    </row>
    <row r="162" spans="1:9" x14ac:dyDescent="0.25">
      <c r="A162" t="str">
        <f>"000767646"</f>
        <v>000767646</v>
      </c>
      <c r="B162" t="s">
        <v>690</v>
      </c>
      <c r="D162" t="s">
        <v>691</v>
      </c>
      <c r="G162" t="s">
        <v>64</v>
      </c>
      <c r="H162" t="s">
        <v>39</v>
      </c>
      <c r="I162" t="s">
        <v>692</v>
      </c>
    </row>
    <row r="163" spans="1:9" x14ac:dyDescent="0.25">
      <c r="A163" t="str">
        <f>"000788181"</f>
        <v>000788181</v>
      </c>
      <c r="B163" t="s">
        <v>693</v>
      </c>
      <c r="D163" t="s">
        <v>694</v>
      </c>
      <c r="E163" t="s">
        <v>695</v>
      </c>
      <c r="G163" t="s">
        <v>696</v>
      </c>
      <c r="H163" t="s">
        <v>28</v>
      </c>
      <c r="I163" t="s">
        <v>697</v>
      </c>
    </row>
    <row r="164" spans="1:9" x14ac:dyDescent="0.25">
      <c r="A164" t="str">
        <f>"000788187"</f>
        <v>000788187</v>
      </c>
      <c r="B164" t="s">
        <v>698</v>
      </c>
      <c r="D164" t="s">
        <v>699</v>
      </c>
      <c r="G164" t="s">
        <v>700</v>
      </c>
      <c r="H164" t="s">
        <v>28</v>
      </c>
      <c r="I164" t="s">
        <v>701</v>
      </c>
    </row>
    <row r="165" spans="1:9" x14ac:dyDescent="0.25">
      <c r="A165" t="str">
        <f>"000792288"</f>
        <v>000792288</v>
      </c>
      <c r="B165" t="s">
        <v>702</v>
      </c>
      <c r="D165" t="s">
        <v>703</v>
      </c>
      <c r="E165" t="s">
        <v>704</v>
      </c>
      <c r="G165" t="s">
        <v>64</v>
      </c>
      <c r="H165" t="s">
        <v>39</v>
      </c>
      <c r="I165" t="s">
        <v>705</v>
      </c>
    </row>
    <row r="166" spans="1:9" x14ac:dyDescent="0.25">
      <c r="A166" t="str">
        <f>"000794442"</f>
        <v>000794442</v>
      </c>
      <c r="B166" t="s">
        <v>706</v>
      </c>
      <c r="D166" t="s">
        <v>707</v>
      </c>
      <c r="G166" t="s">
        <v>214</v>
      </c>
      <c r="H166" t="s">
        <v>120</v>
      </c>
      <c r="I166" t="s">
        <v>708</v>
      </c>
    </row>
    <row r="167" spans="1:9" x14ac:dyDescent="0.25">
      <c r="A167" t="str">
        <f>"000819304"</f>
        <v>000819304</v>
      </c>
      <c r="B167" t="s">
        <v>709</v>
      </c>
      <c r="D167" t="s">
        <v>710</v>
      </c>
      <c r="G167" t="s">
        <v>711</v>
      </c>
      <c r="H167" t="s">
        <v>188</v>
      </c>
      <c r="I167" t="s">
        <v>712</v>
      </c>
    </row>
    <row r="168" spans="1:9" x14ac:dyDescent="0.25">
      <c r="A168" t="str">
        <f>"000790597"</f>
        <v>000790597</v>
      </c>
      <c r="B168" t="s">
        <v>713</v>
      </c>
      <c r="D168" t="s">
        <v>714</v>
      </c>
      <c r="G168" t="s">
        <v>715</v>
      </c>
      <c r="H168" t="s">
        <v>39</v>
      </c>
      <c r="I168" t="s">
        <v>716</v>
      </c>
    </row>
    <row r="169" spans="1:9" x14ac:dyDescent="0.25">
      <c r="A169" t="str">
        <f>"000821149"</f>
        <v>000821149</v>
      </c>
      <c r="B169" t="s">
        <v>717</v>
      </c>
      <c r="D169" t="s">
        <v>718</v>
      </c>
      <c r="G169" t="s">
        <v>719</v>
      </c>
      <c r="H169" t="s">
        <v>161</v>
      </c>
      <c r="I169" t="s">
        <v>720</v>
      </c>
    </row>
    <row r="170" spans="1:9" x14ac:dyDescent="0.25">
      <c r="A170" t="str">
        <f>"000823434"</f>
        <v>000823434</v>
      </c>
      <c r="B170" t="s">
        <v>721</v>
      </c>
      <c r="D170" t="s">
        <v>722</v>
      </c>
      <c r="G170" t="s">
        <v>723</v>
      </c>
      <c r="H170" t="s">
        <v>182</v>
      </c>
      <c r="I170" t="s">
        <v>724</v>
      </c>
    </row>
    <row r="171" spans="1:9" x14ac:dyDescent="0.25">
      <c r="A171" t="str">
        <f>"000798517"</f>
        <v>000798517</v>
      </c>
      <c r="B171" t="s">
        <v>725</v>
      </c>
      <c r="D171" t="s">
        <v>726</v>
      </c>
      <c r="E171" t="s">
        <v>727</v>
      </c>
      <c r="G171" t="s">
        <v>728</v>
      </c>
      <c r="H171" t="s">
        <v>188</v>
      </c>
      <c r="I171" t="s">
        <v>729</v>
      </c>
    </row>
    <row r="172" spans="1:9" x14ac:dyDescent="0.25">
      <c r="A172" t="str">
        <f>"000817573"</f>
        <v>000817573</v>
      </c>
      <c r="B172" t="s">
        <v>730</v>
      </c>
      <c r="D172" t="s">
        <v>731</v>
      </c>
      <c r="E172" t="s">
        <v>732</v>
      </c>
      <c r="G172" t="s">
        <v>83</v>
      </c>
      <c r="H172" t="s">
        <v>84</v>
      </c>
      <c r="I172" t="s">
        <v>733</v>
      </c>
    </row>
    <row r="173" spans="1:9" x14ac:dyDescent="0.25">
      <c r="A173" t="str">
        <f>"000844391"</f>
        <v>000844391</v>
      </c>
      <c r="B173" t="s">
        <v>734</v>
      </c>
      <c r="D173" t="s">
        <v>735</v>
      </c>
      <c r="E173" t="s">
        <v>736</v>
      </c>
      <c r="G173" t="s">
        <v>60</v>
      </c>
      <c r="H173" t="s">
        <v>28</v>
      </c>
      <c r="I173" t="s">
        <v>737</v>
      </c>
    </row>
    <row r="174" spans="1:9" x14ac:dyDescent="0.25">
      <c r="A174" t="str">
        <f>"000852977"</f>
        <v>000852977</v>
      </c>
      <c r="B174" t="s">
        <v>738</v>
      </c>
      <c r="D174" t="s">
        <v>739</v>
      </c>
      <c r="G174" t="s">
        <v>740</v>
      </c>
      <c r="H174" t="s">
        <v>84</v>
      </c>
      <c r="I174" t="s">
        <v>741</v>
      </c>
    </row>
    <row r="175" spans="1:9" x14ac:dyDescent="0.25">
      <c r="A175" t="str">
        <f>"000898499"</f>
        <v>000898499</v>
      </c>
      <c r="B175" t="s">
        <v>742</v>
      </c>
      <c r="D175" t="s">
        <v>743</v>
      </c>
      <c r="G175" t="s">
        <v>64</v>
      </c>
      <c r="H175" t="s">
        <v>39</v>
      </c>
      <c r="I175" t="s">
        <v>744</v>
      </c>
    </row>
    <row r="176" spans="1:9" x14ac:dyDescent="0.25">
      <c r="A176" t="str">
        <f>"000899320"</f>
        <v>000899320</v>
      </c>
      <c r="B176" t="s">
        <v>745</v>
      </c>
      <c r="D176" t="s">
        <v>746</v>
      </c>
      <c r="G176" t="s">
        <v>60</v>
      </c>
      <c r="H176" t="s">
        <v>28</v>
      </c>
      <c r="I176" t="s">
        <v>747</v>
      </c>
    </row>
    <row r="177" spans="1:9" x14ac:dyDescent="0.25">
      <c r="A177" t="str">
        <f>"000915515"</f>
        <v>000915515</v>
      </c>
      <c r="B177" t="s">
        <v>748</v>
      </c>
      <c r="D177" t="s">
        <v>749</v>
      </c>
      <c r="E177" t="s">
        <v>750</v>
      </c>
      <c r="G177" t="s">
        <v>751</v>
      </c>
      <c r="H177" t="s">
        <v>540</v>
      </c>
      <c r="I177" t="s">
        <v>752</v>
      </c>
    </row>
    <row r="178" spans="1:9" x14ac:dyDescent="0.25">
      <c r="A178" t="str">
        <f>"000917027"</f>
        <v>000917027</v>
      </c>
      <c r="B178" t="s">
        <v>753</v>
      </c>
      <c r="D178" t="s">
        <v>754</v>
      </c>
      <c r="E178" t="s">
        <v>755</v>
      </c>
      <c r="F178" t="s">
        <v>756</v>
      </c>
      <c r="G178" t="s">
        <v>64</v>
      </c>
      <c r="H178" t="s">
        <v>39</v>
      </c>
      <c r="I178" t="s">
        <v>757</v>
      </c>
    </row>
    <row r="179" spans="1:9" x14ac:dyDescent="0.25">
      <c r="A179" t="str">
        <f>"000928818"</f>
        <v>000928818</v>
      </c>
      <c r="B179" t="s">
        <v>758</v>
      </c>
      <c r="D179" t="s">
        <v>759</v>
      </c>
      <c r="E179" t="s">
        <v>760</v>
      </c>
      <c r="G179" t="s">
        <v>99</v>
      </c>
      <c r="H179" t="s">
        <v>100</v>
      </c>
      <c r="I179" t="s">
        <v>761</v>
      </c>
    </row>
    <row r="180" spans="1:9" x14ac:dyDescent="0.25">
      <c r="A180" t="str">
        <f>"001028100"</f>
        <v>001028100</v>
      </c>
      <c r="B180" t="s">
        <v>762</v>
      </c>
      <c r="D180" t="s">
        <v>763</v>
      </c>
      <c r="G180" t="s">
        <v>764</v>
      </c>
      <c r="I180">
        <v>84100</v>
      </c>
    </row>
    <row r="181" spans="1:9" x14ac:dyDescent="0.25">
      <c r="A181" t="str">
        <f>"001000693"</f>
        <v>001000693</v>
      </c>
      <c r="B181" t="s">
        <v>765</v>
      </c>
      <c r="D181" t="s">
        <v>766</v>
      </c>
      <c r="E181" t="s">
        <v>767</v>
      </c>
      <c r="G181" t="s">
        <v>688</v>
      </c>
      <c r="H181" t="s">
        <v>28</v>
      </c>
      <c r="I181" t="s">
        <v>768</v>
      </c>
    </row>
    <row r="182" spans="1:9" x14ac:dyDescent="0.25">
      <c r="A182" t="str">
        <f>"001048619"</f>
        <v>001048619</v>
      </c>
      <c r="B182" t="s">
        <v>769</v>
      </c>
      <c r="D182" t="s">
        <v>770</v>
      </c>
      <c r="E182" t="s">
        <v>771</v>
      </c>
      <c r="G182" t="s">
        <v>64</v>
      </c>
      <c r="H182" t="s">
        <v>39</v>
      </c>
      <c r="I182">
        <v>63143</v>
      </c>
    </row>
    <row r="183" spans="1:9" x14ac:dyDescent="0.25">
      <c r="A183" t="str">
        <f>"001015470"</f>
        <v>001015470</v>
      </c>
      <c r="B183" t="s">
        <v>772</v>
      </c>
      <c r="D183" t="s">
        <v>773</v>
      </c>
      <c r="G183" t="s">
        <v>774</v>
      </c>
      <c r="H183" t="s">
        <v>477</v>
      </c>
      <c r="I183" t="s">
        <v>775</v>
      </c>
    </row>
    <row r="184" spans="1:9" x14ac:dyDescent="0.25">
      <c r="A184" t="str">
        <f>"001033608"</f>
        <v>001033608</v>
      </c>
      <c r="B184" t="s">
        <v>776</v>
      </c>
      <c r="D184" t="s">
        <v>777</v>
      </c>
      <c r="G184" t="s">
        <v>242</v>
      </c>
      <c r="H184" t="s">
        <v>161</v>
      </c>
      <c r="I184" t="s">
        <v>778</v>
      </c>
    </row>
    <row r="185" spans="1:9" x14ac:dyDescent="0.25">
      <c r="A185" t="str">
        <f>"001024033"</f>
        <v>001024033</v>
      </c>
      <c r="B185" t="s">
        <v>779</v>
      </c>
      <c r="D185" t="s">
        <v>780</v>
      </c>
      <c r="E185" t="s">
        <v>781</v>
      </c>
      <c r="G185" t="s">
        <v>782</v>
      </c>
      <c r="H185" t="s">
        <v>34</v>
      </c>
      <c r="I185" t="s">
        <v>783</v>
      </c>
    </row>
    <row r="186" spans="1:9" x14ac:dyDescent="0.25">
      <c r="A186" t="str">
        <f>"000996698"</f>
        <v>000996698</v>
      </c>
      <c r="B186" t="s">
        <v>784</v>
      </c>
      <c r="D186" t="s">
        <v>785</v>
      </c>
      <c r="E186" t="s">
        <v>786</v>
      </c>
      <c r="G186" t="s">
        <v>64</v>
      </c>
      <c r="H186" t="s">
        <v>39</v>
      </c>
      <c r="I186" t="s">
        <v>787</v>
      </c>
    </row>
    <row r="187" spans="1:9" x14ac:dyDescent="0.25">
      <c r="A187" t="str">
        <f>"000969894"</f>
        <v>000969894</v>
      </c>
      <c r="B187" t="s">
        <v>788</v>
      </c>
      <c r="D187" t="s">
        <v>789</v>
      </c>
      <c r="E187" t="s">
        <v>790</v>
      </c>
      <c r="F187" t="s">
        <v>791</v>
      </c>
      <c r="G187" t="s">
        <v>64</v>
      </c>
      <c r="H187" t="s">
        <v>39</v>
      </c>
      <c r="I187" t="s">
        <v>792</v>
      </c>
    </row>
    <row r="188" spans="1:9" x14ac:dyDescent="0.25">
      <c r="A188" t="str">
        <f>"000986984"</f>
        <v>000986984</v>
      </c>
      <c r="B188" t="s">
        <v>793</v>
      </c>
      <c r="D188" t="s">
        <v>794</v>
      </c>
      <c r="G188" t="s">
        <v>795</v>
      </c>
      <c r="H188" t="s">
        <v>796</v>
      </c>
      <c r="I188">
        <v>732</v>
      </c>
    </row>
    <row r="189" spans="1:9" x14ac:dyDescent="0.25">
      <c r="A189" t="str">
        <f>"001004271"</f>
        <v>001004271</v>
      </c>
      <c r="B189" t="s">
        <v>797</v>
      </c>
      <c r="D189" t="s">
        <v>798</v>
      </c>
      <c r="G189" t="s">
        <v>64</v>
      </c>
      <c r="H189" t="s">
        <v>39</v>
      </c>
      <c r="I189" t="s">
        <v>799</v>
      </c>
    </row>
    <row r="190" spans="1:9" x14ac:dyDescent="0.25">
      <c r="A190" t="str">
        <f>"001016169"</f>
        <v>001016169</v>
      </c>
      <c r="B190" t="s">
        <v>800</v>
      </c>
      <c r="D190" t="s">
        <v>801</v>
      </c>
      <c r="E190" t="s">
        <v>802</v>
      </c>
      <c r="F190" t="s">
        <v>803</v>
      </c>
      <c r="G190" t="s">
        <v>291</v>
      </c>
      <c r="H190" t="s">
        <v>182</v>
      </c>
      <c r="I190" t="s">
        <v>804</v>
      </c>
    </row>
    <row r="191" spans="1:9" x14ac:dyDescent="0.25">
      <c r="A191" t="str">
        <f>"001037731"</f>
        <v>001037731</v>
      </c>
      <c r="B191" t="s">
        <v>805</v>
      </c>
      <c r="D191" t="s">
        <v>806</v>
      </c>
      <c r="E191" t="s">
        <v>807</v>
      </c>
      <c r="G191" t="s">
        <v>808</v>
      </c>
      <c r="H191" t="s">
        <v>809</v>
      </c>
      <c r="I191" t="s">
        <v>810</v>
      </c>
    </row>
    <row r="192" spans="1:9" x14ac:dyDescent="0.25">
      <c r="A192" t="str">
        <f>"000957783"</f>
        <v>000957783</v>
      </c>
      <c r="B192" t="s">
        <v>811</v>
      </c>
      <c r="D192" t="s">
        <v>812</v>
      </c>
      <c r="G192" t="s">
        <v>60</v>
      </c>
      <c r="H192" t="s">
        <v>28</v>
      </c>
      <c r="I192" t="s">
        <v>813</v>
      </c>
    </row>
    <row r="193" spans="1:9" x14ac:dyDescent="0.25">
      <c r="A193" t="str">
        <f>"001047655"</f>
        <v>001047655</v>
      </c>
      <c r="B193" t="s">
        <v>814</v>
      </c>
      <c r="D193" t="s">
        <v>815</v>
      </c>
      <c r="E193" t="s">
        <v>816</v>
      </c>
      <c r="G193" t="s">
        <v>170</v>
      </c>
      <c r="H193" t="s">
        <v>171</v>
      </c>
      <c r="I193" t="s">
        <v>817</v>
      </c>
    </row>
    <row r="194" spans="1:9" x14ac:dyDescent="0.25">
      <c r="A194" t="str">
        <f>"000991248"</f>
        <v>000991248</v>
      </c>
      <c r="B194" t="s">
        <v>818</v>
      </c>
      <c r="D194" t="s">
        <v>819</v>
      </c>
      <c r="G194" t="s">
        <v>323</v>
      </c>
      <c r="H194" t="s">
        <v>84</v>
      </c>
      <c r="I194" t="s">
        <v>820</v>
      </c>
    </row>
    <row r="195" spans="1:9" x14ac:dyDescent="0.25">
      <c r="A195" t="str">
        <f>"000991255"</f>
        <v>000991255</v>
      </c>
      <c r="B195" t="s">
        <v>821</v>
      </c>
      <c r="D195" t="s">
        <v>822</v>
      </c>
      <c r="G195" t="s">
        <v>267</v>
      </c>
      <c r="H195" t="s">
        <v>39</v>
      </c>
      <c r="I195" t="s">
        <v>823</v>
      </c>
    </row>
    <row r="196" spans="1:9" x14ac:dyDescent="0.25">
      <c r="A196" t="str">
        <f>"000953582"</f>
        <v>000953582</v>
      </c>
      <c r="B196" t="s">
        <v>824</v>
      </c>
      <c r="D196" t="s">
        <v>825</v>
      </c>
      <c r="G196" t="s">
        <v>826</v>
      </c>
      <c r="H196" t="s">
        <v>827</v>
      </c>
      <c r="I196" t="s">
        <v>828</v>
      </c>
    </row>
    <row r="197" spans="1:9" x14ac:dyDescent="0.25">
      <c r="A197" t="str">
        <f>"001009889"</f>
        <v>001009889</v>
      </c>
      <c r="B197" t="s">
        <v>829</v>
      </c>
      <c r="D197" t="s">
        <v>830</v>
      </c>
      <c r="G197" t="s">
        <v>831</v>
      </c>
      <c r="H197" t="s">
        <v>84</v>
      </c>
      <c r="I197" t="s">
        <v>832</v>
      </c>
    </row>
    <row r="198" spans="1:9" x14ac:dyDescent="0.25">
      <c r="A198" t="str">
        <f>"001047110"</f>
        <v>001047110</v>
      </c>
      <c r="B198" t="s">
        <v>833</v>
      </c>
      <c r="D198" t="s">
        <v>834</v>
      </c>
      <c r="G198" t="s">
        <v>136</v>
      </c>
      <c r="H198" t="s">
        <v>28</v>
      </c>
      <c r="I198" t="s">
        <v>835</v>
      </c>
    </row>
    <row r="199" spans="1:9" x14ac:dyDescent="0.25">
      <c r="A199" t="str">
        <f>"001003330"</f>
        <v>001003330</v>
      </c>
      <c r="B199" t="s">
        <v>836</v>
      </c>
      <c r="D199" t="s">
        <v>837</v>
      </c>
      <c r="E199" t="s">
        <v>838</v>
      </c>
      <c r="F199" t="s">
        <v>839</v>
      </c>
      <c r="G199" t="s">
        <v>242</v>
      </c>
      <c r="H199" t="s">
        <v>161</v>
      </c>
      <c r="I199" t="s">
        <v>840</v>
      </c>
    </row>
    <row r="200" spans="1:9" x14ac:dyDescent="0.25">
      <c r="A200" t="str">
        <f>"000999365"</f>
        <v>000999365</v>
      </c>
      <c r="B200" t="s">
        <v>841</v>
      </c>
      <c r="D200" t="s">
        <v>842</v>
      </c>
      <c r="G200" t="s">
        <v>64</v>
      </c>
      <c r="H200" t="s">
        <v>39</v>
      </c>
      <c r="I200" t="s">
        <v>843</v>
      </c>
    </row>
    <row r="201" spans="1:9" x14ac:dyDescent="0.25">
      <c r="A201" t="str">
        <f>"001012246"</f>
        <v>001012246</v>
      </c>
      <c r="B201" t="s">
        <v>844</v>
      </c>
      <c r="D201" t="s">
        <v>845</v>
      </c>
      <c r="G201" t="s">
        <v>64</v>
      </c>
      <c r="H201" t="s">
        <v>39</v>
      </c>
      <c r="I201" t="s">
        <v>846</v>
      </c>
    </row>
    <row r="202" spans="1:9" x14ac:dyDescent="0.25">
      <c r="A202" t="str">
        <f>"001012248"</f>
        <v>001012248</v>
      </c>
      <c r="B202" t="s">
        <v>847</v>
      </c>
      <c r="D202" t="s">
        <v>848</v>
      </c>
      <c r="E202" t="s">
        <v>849</v>
      </c>
      <c r="G202" t="s">
        <v>523</v>
      </c>
      <c r="H202" t="s">
        <v>524</v>
      </c>
      <c r="I202" t="s">
        <v>850</v>
      </c>
    </row>
    <row r="203" spans="1:9" x14ac:dyDescent="0.25">
      <c r="A203" t="str">
        <f>"001004053"</f>
        <v>001004053</v>
      </c>
      <c r="B203" t="s">
        <v>851</v>
      </c>
      <c r="D203" t="s">
        <v>852</v>
      </c>
      <c r="G203" t="s">
        <v>853</v>
      </c>
      <c r="H203" t="s">
        <v>84</v>
      </c>
      <c r="I203" t="s">
        <v>854</v>
      </c>
    </row>
    <row r="204" spans="1:9" x14ac:dyDescent="0.25">
      <c r="A204" t="str">
        <f>"000980127"</f>
        <v>000980127</v>
      </c>
      <c r="B204" t="s">
        <v>855</v>
      </c>
      <c r="D204" t="s">
        <v>856</v>
      </c>
      <c r="G204" t="s">
        <v>857</v>
      </c>
      <c r="H204" t="s">
        <v>858</v>
      </c>
      <c r="I204" t="s">
        <v>859</v>
      </c>
    </row>
    <row r="205" spans="1:9" x14ac:dyDescent="0.25">
      <c r="A205" t="str">
        <f>"001047483"</f>
        <v>001047483</v>
      </c>
      <c r="B205" t="s">
        <v>860</v>
      </c>
      <c r="D205" t="s">
        <v>861</v>
      </c>
      <c r="G205" t="s">
        <v>64</v>
      </c>
      <c r="H205" t="s">
        <v>39</v>
      </c>
      <c r="I205" t="s">
        <v>862</v>
      </c>
    </row>
    <row r="206" spans="1:9" x14ac:dyDescent="0.25">
      <c r="A206" t="str">
        <f>"001038486"</f>
        <v>001038486</v>
      </c>
      <c r="B206" t="s">
        <v>863</v>
      </c>
      <c r="D206" t="s">
        <v>864</v>
      </c>
      <c r="E206" t="s">
        <v>865</v>
      </c>
      <c r="F206" t="s">
        <v>866</v>
      </c>
      <c r="G206" t="s">
        <v>867</v>
      </c>
      <c r="H206" t="s">
        <v>28</v>
      </c>
      <c r="I206" t="s">
        <v>868</v>
      </c>
    </row>
    <row r="207" spans="1:9" x14ac:dyDescent="0.25">
      <c r="A207" t="str">
        <f>"001052710"</f>
        <v>001052710</v>
      </c>
      <c r="B207" t="s">
        <v>869</v>
      </c>
      <c r="D207" t="s">
        <v>870</v>
      </c>
      <c r="G207" t="s">
        <v>64</v>
      </c>
      <c r="H207" t="s">
        <v>39</v>
      </c>
      <c r="I207" t="s">
        <v>871</v>
      </c>
    </row>
    <row r="208" spans="1:9" x14ac:dyDescent="0.25">
      <c r="A208" t="str">
        <f>"001021795"</f>
        <v>001021795</v>
      </c>
      <c r="B208" t="s">
        <v>872</v>
      </c>
      <c r="D208" t="s">
        <v>873</v>
      </c>
      <c r="G208" t="s">
        <v>874</v>
      </c>
      <c r="H208" t="s">
        <v>28</v>
      </c>
      <c r="I208" t="s">
        <v>875</v>
      </c>
    </row>
    <row r="209" spans="1:9" x14ac:dyDescent="0.25">
      <c r="A209" t="str">
        <f>"001050482"</f>
        <v>001050482</v>
      </c>
      <c r="B209" t="s">
        <v>876</v>
      </c>
      <c r="D209" t="s">
        <v>877</v>
      </c>
      <c r="G209" t="s">
        <v>878</v>
      </c>
      <c r="H209" t="s">
        <v>879</v>
      </c>
      <c r="I209" t="s">
        <v>880</v>
      </c>
    </row>
    <row r="210" spans="1:9" x14ac:dyDescent="0.25">
      <c r="A210" t="str">
        <f>"001021101"</f>
        <v>001021101</v>
      </c>
      <c r="B210" t="s">
        <v>881</v>
      </c>
      <c r="D210" t="s">
        <v>882</v>
      </c>
      <c r="E210" t="s">
        <v>883</v>
      </c>
      <c r="G210" t="s">
        <v>60</v>
      </c>
      <c r="H210" t="s">
        <v>28</v>
      </c>
      <c r="I210" t="s">
        <v>884</v>
      </c>
    </row>
    <row r="211" spans="1:9" x14ac:dyDescent="0.25">
      <c r="A211" t="str">
        <f>"001045983"</f>
        <v>001045983</v>
      </c>
      <c r="B211" t="s">
        <v>885</v>
      </c>
      <c r="D211" t="s">
        <v>886</v>
      </c>
      <c r="G211" t="s">
        <v>467</v>
      </c>
      <c r="H211" t="s">
        <v>468</v>
      </c>
      <c r="I211" t="s">
        <v>887</v>
      </c>
    </row>
    <row r="212" spans="1:9" x14ac:dyDescent="0.25">
      <c r="A212" t="str">
        <f>"001045985"</f>
        <v>001045985</v>
      </c>
      <c r="B212" t="s">
        <v>888</v>
      </c>
      <c r="D212" t="s">
        <v>889</v>
      </c>
      <c r="G212" t="s">
        <v>890</v>
      </c>
      <c r="H212" t="s">
        <v>28</v>
      </c>
      <c r="I212" t="s">
        <v>891</v>
      </c>
    </row>
    <row r="213" spans="1:9" x14ac:dyDescent="0.25">
      <c r="A213" t="str">
        <f>"001048487"</f>
        <v>001048487</v>
      </c>
      <c r="B213" t="s">
        <v>892</v>
      </c>
      <c r="D213" t="s">
        <v>893</v>
      </c>
      <c r="G213" t="s">
        <v>894</v>
      </c>
      <c r="H213" t="s">
        <v>161</v>
      </c>
      <c r="I213" t="s">
        <v>895</v>
      </c>
    </row>
    <row r="214" spans="1:9" x14ac:dyDescent="0.25">
      <c r="A214" t="str">
        <f>"000994121"</f>
        <v>000994121</v>
      </c>
      <c r="B214" t="s">
        <v>896</v>
      </c>
      <c r="D214" t="s">
        <v>897</v>
      </c>
      <c r="G214" t="s">
        <v>898</v>
      </c>
      <c r="H214" t="s">
        <v>51</v>
      </c>
      <c r="I214" t="s">
        <v>899</v>
      </c>
    </row>
    <row r="215" spans="1:9" x14ac:dyDescent="0.25">
      <c r="A215" t="str">
        <f>"000985725"</f>
        <v>000985725</v>
      </c>
      <c r="B215" t="s">
        <v>900</v>
      </c>
      <c r="D215" t="s">
        <v>901</v>
      </c>
      <c r="G215" t="s">
        <v>902</v>
      </c>
      <c r="H215" t="s">
        <v>28</v>
      </c>
      <c r="I215" t="s">
        <v>903</v>
      </c>
    </row>
    <row r="216" spans="1:9" x14ac:dyDescent="0.25">
      <c r="A216" t="str">
        <f>"001027174"</f>
        <v>001027174</v>
      </c>
      <c r="B216" t="s">
        <v>904</v>
      </c>
      <c r="D216" t="s">
        <v>905</v>
      </c>
      <c r="G216" t="s">
        <v>906</v>
      </c>
      <c r="H216" t="s">
        <v>221</v>
      </c>
      <c r="I216" t="s">
        <v>907</v>
      </c>
    </row>
    <row r="217" spans="1:9" x14ac:dyDescent="0.25">
      <c r="A217" t="str">
        <f>"001048805"</f>
        <v>001048805</v>
      </c>
      <c r="B217" t="s">
        <v>908</v>
      </c>
      <c r="D217" t="s">
        <v>909</v>
      </c>
      <c r="E217" t="s">
        <v>910</v>
      </c>
      <c r="G217" t="s">
        <v>50</v>
      </c>
      <c r="H217" t="s">
        <v>51</v>
      </c>
      <c r="I217" t="s">
        <v>911</v>
      </c>
    </row>
    <row r="218" spans="1:9" x14ac:dyDescent="0.25">
      <c r="A218" t="str">
        <f>"001047136"</f>
        <v>001047136</v>
      </c>
      <c r="B218" t="s">
        <v>912</v>
      </c>
      <c r="D218" t="s">
        <v>913</v>
      </c>
      <c r="G218" t="s">
        <v>64</v>
      </c>
      <c r="H218" t="s">
        <v>39</v>
      </c>
      <c r="I218" t="s">
        <v>914</v>
      </c>
    </row>
    <row r="219" spans="1:9" x14ac:dyDescent="0.25">
      <c r="A219" t="str">
        <f>"001062712"</f>
        <v>001062712</v>
      </c>
      <c r="B219" t="s">
        <v>915</v>
      </c>
      <c r="D219" t="s">
        <v>916</v>
      </c>
      <c r="G219" t="s">
        <v>917</v>
      </c>
      <c r="H219" t="s">
        <v>263</v>
      </c>
      <c r="I219" t="s">
        <v>918</v>
      </c>
    </row>
    <row r="220" spans="1:9" x14ac:dyDescent="0.25">
      <c r="A220" t="str">
        <f>"001063498"</f>
        <v>001063498</v>
      </c>
      <c r="B220" t="s">
        <v>919</v>
      </c>
      <c r="D220" t="s">
        <v>920</v>
      </c>
      <c r="G220" t="s">
        <v>921</v>
      </c>
      <c r="H220" t="s">
        <v>28</v>
      </c>
      <c r="I220" t="s">
        <v>922</v>
      </c>
    </row>
    <row r="221" spans="1:9" x14ac:dyDescent="0.25">
      <c r="A221" t="str">
        <f>"001006094"</f>
        <v>001006094</v>
      </c>
      <c r="B221" t="s">
        <v>923</v>
      </c>
      <c r="D221" t="s">
        <v>924</v>
      </c>
      <c r="E221" t="s">
        <v>925</v>
      </c>
      <c r="G221" t="s">
        <v>64</v>
      </c>
      <c r="H221" t="s">
        <v>39</v>
      </c>
      <c r="I221" t="s">
        <v>926</v>
      </c>
    </row>
    <row r="222" spans="1:9" x14ac:dyDescent="0.25">
      <c r="A222" t="str">
        <f>"000984413"</f>
        <v>000984413</v>
      </c>
      <c r="B222" t="s">
        <v>927</v>
      </c>
      <c r="D222" t="s">
        <v>928</v>
      </c>
      <c r="G222" t="s">
        <v>60</v>
      </c>
      <c r="H222" t="s">
        <v>28</v>
      </c>
      <c r="I222" t="s">
        <v>929</v>
      </c>
    </row>
    <row r="223" spans="1:9" x14ac:dyDescent="0.25">
      <c r="A223" t="str">
        <f>"001050422"</f>
        <v>001050422</v>
      </c>
      <c r="B223" t="s">
        <v>930</v>
      </c>
      <c r="D223" t="s">
        <v>931</v>
      </c>
      <c r="G223" t="s">
        <v>932</v>
      </c>
      <c r="H223" t="s">
        <v>546</v>
      </c>
      <c r="I223" t="s">
        <v>933</v>
      </c>
    </row>
    <row r="224" spans="1:9" x14ac:dyDescent="0.25">
      <c r="A224" t="str">
        <f>"001043950"</f>
        <v>001043950</v>
      </c>
      <c r="B224" t="s">
        <v>934</v>
      </c>
      <c r="D224" t="s">
        <v>935</v>
      </c>
      <c r="G224" t="s">
        <v>936</v>
      </c>
      <c r="H224" t="s">
        <v>39</v>
      </c>
      <c r="I224" t="s">
        <v>937</v>
      </c>
    </row>
    <row r="225" spans="1:9" x14ac:dyDescent="0.25">
      <c r="A225" t="str">
        <f>"001038328"</f>
        <v>001038328</v>
      </c>
      <c r="B225" t="s">
        <v>938</v>
      </c>
      <c r="D225" t="s">
        <v>939</v>
      </c>
      <c r="G225" t="s">
        <v>940</v>
      </c>
      <c r="H225" t="s">
        <v>166</v>
      </c>
      <c r="I225" t="s">
        <v>941</v>
      </c>
    </row>
    <row r="226" spans="1:9" x14ac:dyDescent="0.25">
      <c r="A226" t="str">
        <f>"001002857"</f>
        <v>001002857</v>
      </c>
      <c r="B226" t="s">
        <v>942</v>
      </c>
      <c r="D226" t="s">
        <v>943</v>
      </c>
      <c r="E226" t="s">
        <v>944</v>
      </c>
      <c r="G226" t="s">
        <v>136</v>
      </c>
      <c r="H226" t="s">
        <v>28</v>
      </c>
      <c r="I226" t="s">
        <v>945</v>
      </c>
    </row>
    <row r="227" spans="1:9" x14ac:dyDescent="0.25">
      <c r="A227" t="str">
        <f>"001018002"</f>
        <v>001018002</v>
      </c>
      <c r="B227" t="s">
        <v>946</v>
      </c>
      <c r="D227" t="s">
        <v>947</v>
      </c>
      <c r="E227" t="s">
        <v>948</v>
      </c>
      <c r="G227" t="s">
        <v>949</v>
      </c>
      <c r="H227" t="s">
        <v>34</v>
      </c>
      <c r="I227" t="s">
        <v>950</v>
      </c>
    </row>
    <row r="228" spans="1:9" x14ac:dyDescent="0.25">
      <c r="A228" t="str">
        <f>"001022738"</f>
        <v>001022738</v>
      </c>
      <c r="B228" t="s">
        <v>951</v>
      </c>
      <c r="D228" t="s">
        <v>123</v>
      </c>
      <c r="G228" t="s">
        <v>64</v>
      </c>
      <c r="H228" t="s">
        <v>39</v>
      </c>
      <c r="I228" t="s">
        <v>952</v>
      </c>
    </row>
    <row r="229" spans="1:9" x14ac:dyDescent="0.25">
      <c r="A229" t="str">
        <f>"001045354"</f>
        <v>001045354</v>
      </c>
      <c r="B229" t="s">
        <v>953</v>
      </c>
      <c r="D229" t="s">
        <v>954</v>
      </c>
      <c r="E229" t="s">
        <v>955</v>
      </c>
      <c r="G229" t="s">
        <v>956</v>
      </c>
      <c r="H229" t="s">
        <v>957</v>
      </c>
      <c r="I229" t="s">
        <v>958</v>
      </c>
    </row>
    <row r="230" spans="1:9" x14ac:dyDescent="0.25">
      <c r="A230" t="str">
        <f>"001041391"</f>
        <v>001041391</v>
      </c>
      <c r="B230" t="s">
        <v>959</v>
      </c>
      <c r="D230" t="s">
        <v>960</v>
      </c>
      <c r="G230" t="s">
        <v>961</v>
      </c>
      <c r="H230" t="s">
        <v>809</v>
      </c>
      <c r="I230" t="s">
        <v>962</v>
      </c>
    </row>
    <row r="231" spans="1:9" x14ac:dyDescent="0.25">
      <c r="A231" t="str">
        <f>"001075037"</f>
        <v>001075037</v>
      </c>
      <c r="B231" t="s">
        <v>963</v>
      </c>
      <c r="D231" t="s">
        <v>964</v>
      </c>
      <c r="G231" t="s">
        <v>965</v>
      </c>
      <c r="H231" t="s">
        <v>39</v>
      </c>
      <c r="I231" t="s">
        <v>966</v>
      </c>
    </row>
    <row r="232" spans="1:9" x14ac:dyDescent="0.25">
      <c r="A232" t="str">
        <f>"001053037"</f>
        <v>001053037</v>
      </c>
      <c r="B232" t="s">
        <v>967</v>
      </c>
      <c r="D232" t="s">
        <v>968</v>
      </c>
      <c r="G232" t="s">
        <v>64</v>
      </c>
      <c r="H232" t="s">
        <v>39</v>
      </c>
      <c r="I232" t="s">
        <v>969</v>
      </c>
    </row>
    <row r="233" spans="1:9" x14ac:dyDescent="0.25">
      <c r="A233" t="str">
        <f>"001046996"</f>
        <v>001046996</v>
      </c>
      <c r="B233" t="s">
        <v>970</v>
      </c>
      <c r="D233" t="s">
        <v>971</v>
      </c>
      <c r="E233" t="s">
        <v>972</v>
      </c>
      <c r="F233" t="s">
        <v>973</v>
      </c>
      <c r="G233" t="s">
        <v>391</v>
      </c>
      <c r="H233" t="s">
        <v>296</v>
      </c>
      <c r="I233" t="s">
        <v>974</v>
      </c>
    </row>
    <row r="234" spans="1:9" x14ac:dyDescent="0.25">
      <c r="A234" t="str">
        <f>"001049146"</f>
        <v>001049146</v>
      </c>
      <c r="B234" t="s">
        <v>975</v>
      </c>
      <c r="D234" t="s">
        <v>976</v>
      </c>
      <c r="G234" t="s">
        <v>965</v>
      </c>
      <c r="H234" t="s">
        <v>39</v>
      </c>
      <c r="I234" t="s">
        <v>977</v>
      </c>
    </row>
    <row r="235" spans="1:9" x14ac:dyDescent="0.25">
      <c r="A235" t="str">
        <f>"001052436"</f>
        <v>001052436</v>
      </c>
      <c r="B235" t="s">
        <v>978</v>
      </c>
      <c r="D235" t="s">
        <v>979</v>
      </c>
      <c r="E235" t="s">
        <v>980</v>
      </c>
      <c r="G235" t="s">
        <v>130</v>
      </c>
      <c r="H235" t="s">
        <v>131</v>
      </c>
      <c r="I235" t="s">
        <v>981</v>
      </c>
    </row>
    <row r="236" spans="1:9" x14ac:dyDescent="0.25">
      <c r="A236" t="str">
        <f>"001052747"</f>
        <v>001052747</v>
      </c>
      <c r="B236" t="s">
        <v>982</v>
      </c>
      <c r="D236" t="s">
        <v>983</v>
      </c>
      <c r="G236" t="s">
        <v>984</v>
      </c>
      <c r="H236" t="s">
        <v>263</v>
      </c>
      <c r="I236" t="s">
        <v>985</v>
      </c>
    </row>
    <row r="237" spans="1:9" x14ac:dyDescent="0.25">
      <c r="A237" t="str">
        <f>"001060065"</f>
        <v>001060065</v>
      </c>
      <c r="B237" t="s">
        <v>986</v>
      </c>
      <c r="D237" t="s">
        <v>987</v>
      </c>
      <c r="G237" t="s">
        <v>493</v>
      </c>
      <c r="H237" t="s">
        <v>39</v>
      </c>
      <c r="I237" t="s">
        <v>988</v>
      </c>
    </row>
    <row r="238" spans="1:9" x14ac:dyDescent="0.25">
      <c r="A238" t="str">
        <f>"001071480"</f>
        <v>001071480</v>
      </c>
      <c r="B238" t="s">
        <v>989</v>
      </c>
      <c r="D238" t="s">
        <v>990</v>
      </c>
      <c r="G238" t="s">
        <v>60</v>
      </c>
      <c r="H238" t="s">
        <v>28</v>
      </c>
      <c r="I238" t="s">
        <v>991</v>
      </c>
    </row>
    <row r="239" spans="1:9" x14ac:dyDescent="0.25">
      <c r="A239" t="str">
        <f>"001051527"</f>
        <v>001051527</v>
      </c>
      <c r="B239" t="s">
        <v>992</v>
      </c>
      <c r="D239" t="s">
        <v>993</v>
      </c>
      <c r="G239" t="s">
        <v>994</v>
      </c>
      <c r="H239" t="s">
        <v>879</v>
      </c>
      <c r="I239" t="s">
        <v>995</v>
      </c>
    </row>
    <row r="240" spans="1:9" x14ac:dyDescent="0.25">
      <c r="A240" t="str">
        <f>"001070343"</f>
        <v>001070343</v>
      </c>
      <c r="B240" t="s">
        <v>996</v>
      </c>
      <c r="D240" t="s">
        <v>997</v>
      </c>
      <c r="G240" t="s">
        <v>550</v>
      </c>
      <c r="H240" t="s">
        <v>39</v>
      </c>
      <c r="I240" t="s">
        <v>998</v>
      </c>
    </row>
    <row r="241" spans="1:9" x14ac:dyDescent="0.25">
      <c r="A241" t="str">
        <f>"001076916"</f>
        <v>001076916</v>
      </c>
      <c r="B241" t="s">
        <v>999</v>
      </c>
      <c r="D241" t="s">
        <v>1000</v>
      </c>
      <c r="G241" t="s">
        <v>220</v>
      </c>
      <c r="H241" t="s">
        <v>221</v>
      </c>
      <c r="I241">
        <v>48103</v>
      </c>
    </row>
    <row r="242" spans="1:9" x14ac:dyDescent="0.25">
      <c r="A242" t="str">
        <f>"001069514"</f>
        <v>001069514</v>
      </c>
      <c r="B242" t="s">
        <v>1001</v>
      </c>
      <c r="D242" t="s">
        <v>1002</v>
      </c>
      <c r="G242" t="s">
        <v>1003</v>
      </c>
      <c r="H242" t="s">
        <v>188</v>
      </c>
      <c r="I242" t="s">
        <v>1004</v>
      </c>
    </row>
    <row r="243" spans="1:9" x14ac:dyDescent="0.25">
      <c r="A243" t="str">
        <f>"000629113"</f>
        <v>000629113</v>
      </c>
      <c r="B243" t="s">
        <v>1005</v>
      </c>
      <c r="D243" t="s">
        <v>1006</v>
      </c>
      <c r="G243" t="s">
        <v>64</v>
      </c>
      <c r="H243" t="s">
        <v>39</v>
      </c>
      <c r="I243" t="s">
        <v>1007</v>
      </c>
    </row>
    <row r="244" spans="1:9" x14ac:dyDescent="0.25">
      <c r="A244" t="str">
        <f>"000802309"</f>
        <v>000802309</v>
      </c>
      <c r="B244" t="s">
        <v>1008</v>
      </c>
      <c r="D244" t="s">
        <v>1009</v>
      </c>
      <c r="E244" t="s">
        <v>1010</v>
      </c>
      <c r="G244" t="s">
        <v>1011</v>
      </c>
      <c r="H244" t="s">
        <v>1012</v>
      </c>
      <c r="I244" t="s">
        <v>1013</v>
      </c>
    </row>
    <row r="245" spans="1:9" x14ac:dyDescent="0.25">
      <c r="A245" t="str">
        <f>"000802949"</f>
        <v>000802949</v>
      </c>
      <c r="B245" t="s">
        <v>1014</v>
      </c>
      <c r="D245" t="s">
        <v>1015</v>
      </c>
      <c r="E245" t="s">
        <v>1016</v>
      </c>
      <c r="G245" t="s">
        <v>1017</v>
      </c>
      <c r="H245" t="s">
        <v>39</v>
      </c>
      <c r="I245" t="s">
        <v>1018</v>
      </c>
    </row>
    <row r="246" spans="1:9" x14ac:dyDescent="0.25">
      <c r="A246" t="str">
        <f>"000800877"</f>
        <v>000800877</v>
      </c>
      <c r="B246" t="s">
        <v>1019</v>
      </c>
      <c r="D246" t="s">
        <v>1020</v>
      </c>
      <c r="E246" t="s">
        <v>1021</v>
      </c>
      <c r="G246" t="s">
        <v>1022</v>
      </c>
      <c r="H246" t="s">
        <v>477</v>
      </c>
      <c r="I246" t="s">
        <v>1023</v>
      </c>
    </row>
    <row r="247" spans="1:9" x14ac:dyDescent="0.25">
      <c r="A247" t="str">
        <f>"000800845"</f>
        <v>000800845</v>
      </c>
      <c r="B247" t="s">
        <v>1024</v>
      </c>
      <c r="D247" t="s">
        <v>1025</v>
      </c>
      <c r="G247" t="s">
        <v>1026</v>
      </c>
      <c r="H247" t="s">
        <v>263</v>
      </c>
      <c r="I247" t="s">
        <v>1027</v>
      </c>
    </row>
    <row r="248" spans="1:9" x14ac:dyDescent="0.25">
      <c r="A248" t="str">
        <f>"000629691"</f>
        <v>000629691</v>
      </c>
      <c r="B248" t="s">
        <v>1028</v>
      </c>
      <c r="D248" t="s">
        <v>1029</v>
      </c>
      <c r="G248" t="s">
        <v>291</v>
      </c>
      <c r="H248" t="s">
        <v>182</v>
      </c>
      <c r="I248" t="s">
        <v>1030</v>
      </c>
    </row>
    <row r="249" spans="1:9" x14ac:dyDescent="0.25">
      <c r="A249" t="str">
        <f>"000628937"</f>
        <v>000628937</v>
      </c>
      <c r="B249" t="s">
        <v>1031</v>
      </c>
      <c r="D249" t="s">
        <v>1032</v>
      </c>
      <c r="E249" t="s">
        <v>1033</v>
      </c>
      <c r="G249" t="s">
        <v>64</v>
      </c>
      <c r="H249" t="s">
        <v>39</v>
      </c>
      <c r="I249" t="s">
        <v>1034</v>
      </c>
    </row>
    <row r="250" spans="1:9" x14ac:dyDescent="0.25">
      <c r="A250" t="str">
        <f>"000801534"</f>
        <v>000801534</v>
      </c>
      <c r="B250" t="s">
        <v>1035</v>
      </c>
      <c r="D250" t="s">
        <v>1036</v>
      </c>
      <c r="E250" t="s">
        <v>1037</v>
      </c>
      <c r="F250" t="s">
        <v>1038</v>
      </c>
      <c r="G250" t="s">
        <v>1039</v>
      </c>
      <c r="H250" t="s">
        <v>879</v>
      </c>
      <c r="I250" t="s">
        <v>1040</v>
      </c>
    </row>
    <row r="251" spans="1:9" x14ac:dyDescent="0.25">
      <c r="A251" t="str">
        <f>"000629100"</f>
        <v>000629100</v>
      </c>
      <c r="B251" t="s">
        <v>1041</v>
      </c>
      <c r="D251" t="s">
        <v>1042</v>
      </c>
      <c r="E251" t="s">
        <v>1043</v>
      </c>
      <c r="F251" t="s">
        <v>1044</v>
      </c>
      <c r="G251" t="s">
        <v>1045</v>
      </c>
      <c r="H251" t="s">
        <v>161</v>
      </c>
      <c r="I251" t="s">
        <v>1046</v>
      </c>
    </row>
    <row r="252" spans="1:9" x14ac:dyDescent="0.25">
      <c r="A252" t="str">
        <f>"000800707"</f>
        <v>000800707</v>
      </c>
      <c r="B252" t="s">
        <v>1047</v>
      </c>
      <c r="D252" t="s">
        <v>1048</v>
      </c>
      <c r="E252" t="s">
        <v>1049</v>
      </c>
      <c r="F252" t="s">
        <v>1050</v>
      </c>
      <c r="G252" t="s">
        <v>1051</v>
      </c>
      <c r="H252" t="s">
        <v>28</v>
      </c>
      <c r="I252" t="s">
        <v>1052</v>
      </c>
    </row>
    <row r="253" spans="1:9" x14ac:dyDescent="0.25">
      <c r="A253" t="str">
        <f>"000629160"</f>
        <v>000629160</v>
      </c>
      <c r="B253" t="s">
        <v>1053</v>
      </c>
      <c r="D253" t="s">
        <v>115</v>
      </c>
      <c r="G253" t="s">
        <v>64</v>
      </c>
      <c r="H253" t="s">
        <v>39</v>
      </c>
      <c r="I253" t="s">
        <v>1054</v>
      </c>
    </row>
    <row r="254" spans="1:9" x14ac:dyDescent="0.25">
      <c r="A254" t="str">
        <f>"000629654"</f>
        <v>000629654</v>
      </c>
      <c r="B254" t="s">
        <v>1055</v>
      </c>
      <c r="D254" t="s">
        <v>1056</v>
      </c>
      <c r="E254" t="s">
        <v>1057</v>
      </c>
      <c r="G254" t="s">
        <v>1058</v>
      </c>
      <c r="H254" t="s">
        <v>182</v>
      </c>
      <c r="I254" t="s">
        <v>1059</v>
      </c>
    </row>
    <row r="255" spans="1:9" x14ac:dyDescent="0.25">
      <c r="A255" t="str">
        <f>"000801044"</f>
        <v>000801044</v>
      </c>
      <c r="B255" t="s">
        <v>1060</v>
      </c>
      <c r="D255" t="s">
        <v>1061</v>
      </c>
      <c r="E255" t="s">
        <v>1062</v>
      </c>
      <c r="G255" t="s">
        <v>64</v>
      </c>
      <c r="H255" t="s">
        <v>39</v>
      </c>
      <c r="I255" t="s">
        <v>1063</v>
      </c>
    </row>
    <row r="256" spans="1:9" x14ac:dyDescent="0.25">
      <c r="A256" t="str">
        <f>"000801259"</f>
        <v>000801259</v>
      </c>
      <c r="B256" t="s">
        <v>1064</v>
      </c>
      <c r="D256" t="s">
        <v>1065</v>
      </c>
      <c r="G256" t="s">
        <v>1066</v>
      </c>
      <c r="H256" t="s">
        <v>166</v>
      </c>
      <c r="I256" t="s">
        <v>1067</v>
      </c>
    </row>
    <row r="257" spans="1:9" x14ac:dyDescent="0.25">
      <c r="A257" t="str">
        <f>"000160233"</f>
        <v>000160233</v>
      </c>
      <c r="B257" t="s">
        <v>1068</v>
      </c>
      <c r="D257" t="s">
        <v>1069</v>
      </c>
      <c r="G257" t="s">
        <v>1070</v>
      </c>
      <c r="H257" t="s">
        <v>84</v>
      </c>
      <c r="I257" t="s">
        <v>1071</v>
      </c>
    </row>
    <row r="258" spans="1:9" x14ac:dyDescent="0.25">
      <c r="A258" t="str">
        <f>"000581954"</f>
        <v>000581954</v>
      </c>
      <c r="B258" t="s">
        <v>1072</v>
      </c>
      <c r="D258" t="s">
        <v>1073</v>
      </c>
      <c r="E258" t="s">
        <v>1074</v>
      </c>
      <c r="G258" t="s">
        <v>165</v>
      </c>
      <c r="H258" t="s">
        <v>166</v>
      </c>
      <c r="I258" t="s">
        <v>1075</v>
      </c>
    </row>
    <row r="259" spans="1:9" x14ac:dyDescent="0.25">
      <c r="A259" t="str">
        <f>"000570947"</f>
        <v>000570947</v>
      </c>
      <c r="B259" t="s">
        <v>1076</v>
      </c>
      <c r="D259" t="s">
        <v>1077</v>
      </c>
      <c r="G259" t="s">
        <v>64</v>
      </c>
      <c r="H259" t="s">
        <v>39</v>
      </c>
      <c r="I259" t="s">
        <v>1078</v>
      </c>
    </row>
    <row r="260" spans="1:9" x14ac:dyDescent="0.25">
      <c r="A260" t="str">
        <f>"000572736"</f>
        <v>000572736</v>
      </c>
      <c r="B260" t="s">
        <v>1079</v>
      </c>
      <c r="D260" t="s">
        <v>1080</v>
      </c>
      <c r="E260" t="s">
        <v>1081</v>
      </c>
      <c r="G260" t="s">
        <v>64</v>
      </c>
      <c r="H260" t="s">
        <v>39</v>
      </c>
      <c r="I260" t="s">
        <v>1082</v>
      </c>
    </row>
    <row r="261" spans="1:9" x14ac:dyDescent="0.25">
      <c r="A261" t="str">
        <f>"000562935"</f>
        <v>000562935</v>
      </c>
      <c r="B261" t="s">
        <v>1083</v>
      </c>
      <c r="D261" t="s">
        <v>1084</v>
      </c>
      <c r="E261" t="s">
        <v>1085</v>
      </c>
      <c r="G261" t="s">
        <v>64</v>
      </c>
      <c r="H261" t="s">
        <v>39</v>
      </c>
      <c r="I261" t="s">
        <v>1086</v>
      </c>
    </row>
    <row r="262" spans="1:9" x14ac:dyDescent="0.25">
      <c r="A262" t="str">
        <f>"000574504"</f>
        <v>000574504</v>
      </c>
      <c r="B262" t="s">
        <v>1087</v>
      </c>
      <c r="D262" t="s">
        <v>1088</v>
      </c>
      <c r="G262" t="s">
        <v>170</v>
      </c>
      <c r="H262" t="s">
        <v>171</v>
      </c>
      <c r="I262" t="s">
        <v>1089</v>
      </c>
    </row>
    <row r="263" spans="1:9" x14ac:dyDescent="0.25">
      <c r="A263" t="str">
        <f>"000566367"</f>
        <v>000566367</v>
      </c>
      <c r="B263" t="s">
        <v>1090</v>
      </c>
      <c r="D263" t="s">
        <v>1091</v>
      </c>
      <c r="G263" t="s">
        <v>64</v>
      </c>
      <c r="H263" t="s">
        <v>39</v>
      </c>
      <c r="I263" t="s">
        <v>1092</v>
      </c>
    </row>
    <row r="264" spans="1:9" x14ac:dyDescent="0.25">
      <c r="A264" t="str">
        <f>"000597728"</f>
        <v>000597728</v>
      </c>
      <c r="B264" t="s">
        <v>1093</v>
      </c>
      <c r="D264" t="s">
        <v>1094</v>
      </c>
      <c r="G264" t="s">
        <v>1095</v>
      </c>
      <c r="H264" t="s">
        <v>28</v>
      </c>
      <c r="I264" t="s">
        <v>1096</v>
      </c>
    </row>
    <row r="265" spans="1:9" x14ac:dyDescent="0.25">
      <c r="A265" t="str">
        <f>"000548525"</f>
        <v>000548525</v>
      </c>
      <c r="B265" t="s">
        <v>1097</v>
      </c>
      <c r="D265" t="s">
        <v>1098</v>
      </c>
      <c r="G265" t="s">
        <v>90</v>
      </c>
      <c r="H265" t="s">
        <v>39</v>
      </c>
      <c r="I265" t="s">
        <v>1099</v>
      </c>
    </row>
    <row r="266" spans="1:9" x14ac:dyDescent="0.25">
      <c r="A266" t="str">
        <f>"000010080"</f>
        <v>000010080</v>
      </c>
      <c r="B266" t="s">
        <v>1100</v>
      </c>
      <c r="D266" t="s">
        <v>1101</v>
      </c>
      <c r="G266" t="s">
        <v>130</v>
      </c>
      <c r="H266" t="s">
        <v>131</v>
      </c>
      <c r="I266" t="s">
        <v>1102</v>
      </c>
    </row>
    <row r="267" spans="1:9" x14ac:dyDescent="0.25">
      <c r="A267" t="str">
        <f>"000010094"</f>
        <v>000010094</v>
      </c>
      <c r="B267" t="s">
        <v>1103</v>
      </c>
      <c r="D267" t="s">
        <v>1104</v>
      </c>
      <c r="E267" t="s">
        <v>1105</v>
      </c>
      <c r="G267" t="s">
        <v>1106</v>
      </c>
      <c r="H267" t="s">
        <v>513</v>
      </c>
      <c r="I267" t="s">
        <v>1107</v>
      </c>
    </row>
    <row r="268" spans="1:9" x14ac:dyDescent="0.25">
      <c r="A268" t="str">
        <f>"000013020"</f>
        <v>000013020</v>
      </c>
      <c r="B268" t="s">
        <v>1108</v>
      </c>
      <c r="D268" t="s">
        <v>1109</v>
      </c>
      <c r="G268" t="s">
        <v>210</v>
      </c>
      <c r="H268" t="s">
        <v>166</v>
      </c>
      <c r="I268" t="s">
        <v>1110</v>
      </c>
    </row>
    <row r="269" spans="1:9" x14ac:dyDescent="0.25">
      <c r="A269" t="str">
        <f>"000012751"</f>
        <v>000012751</v>
      </c>
      <c r="B269" t="s">
        <v>1111</v>
      </c>
      <c r="D269" t="s">
        <v>1112</v>
      </c>
      <c r="G269" t="s">
        <v>1113</v>
      </c>
      <c r="H269" t="s">
        <v>34</v>
      </c>
      <c r="I269" t="s">
        <v>1114</v>
      </c>
    </row>
    <row r="270" spans="1:9" x14ac:dyDescent="0.25">
      <c r="A270" t="str">
        <f>"000011717"</f>
        <v>000011717</v>
      </c>
      <c r="B270" t="s">
        <v>1115</v>
      </c>
      <c r="D270" t="s">
        <v>1116</v>
      </c>
      <c r="G270" t="s">
        <v>1117</v>
      </c>
      <c r="H270" t="s">
        <v>1118</v>
      </c>
      <c r="I270" t="s">
        <v>1119</v>
      </c>
    </row>
    <row r="271" spans="1:9" x14ac:dyDescent="0.25">
      <c r="A271" t="str">
        <f>"000010110"</f>
        <v>000010110</v>
      </c>
      <c r="B271" t="s">
        <v>1120</v>
      </c>
      <c r="D271" t="s">
        <v>1121</v>
      </c>
      <c r="G271" t="s">
        <v>1122</v>
      </c>
      <c r="H271" t="s">
        <v>23</v>
      </c>
      <c r="I271" t="s">
        <v>1123</v>
      </c>
    </row>
    <row r="272" spans="1:9" x14ac:dyDescent="0.25">
      <c r="A272" t="str">
        <f>"000010182"</f>
        <v>000010182</v>
      </c>
      <c r="B272" t="s">
        <v>1124</v>
      </c>
      <c r="D272" t="s">
        <v>1125</v>
      </c>
      <c r="G272" t="s">
        <v>267</v>
      </c>
      <c r="H272" t="s">
        <v>39</v>
      </c>
      <c r="I272" t="s">
        <v>1126</v>
      </c>
    </row>
    <row r="273" spans="1:9" x14ac:dyDescent="0.25">
      <c r="A273" t="str">
        <f>"000010494"</f>
        <v>000010494</v>
      </c>
      <c r="B273" t="s">
        <v>1127</v>
      </c>
      <c r="D273" t="s">
        <v>1128</v>
      </c>
      <c r="G273" t="s">
        <v>1129</v>
      </c>
      <c r="H273" t="s">
        <v>84</v>
      </c>
      <c r="I273" t="s">
        <v>1130</v>
      </c>
    </row>
    <row r="274" spans="1:9" x14ac:dyDescent="0.25">
      <c r="A274" t="str">
        <f>"000011086"</f>
        <v>000011086</v>
      </c>
      <c r="B274" t="s">
        <v>1131</v>
      </c>
      <c r="D274" t="s">
        <v>1132</v>
      </c>
      <c r="G274" t="s">
        <v>56</v>
      </c>
      <c r="H274" t="s">
        <v>28</v>
      </c>
      <c r="I274" t="s">
        <v>1133</v>
      </c>
    </row>
    <row r="275" spans="1:9" x14ac:dyDescent="0.25">
      <c r="A275" t="str">
        <f>"000011479"</f>
        <v>000011479</v>
      </c>
      <c r="B275" t="s">
        <v>1134</v>
      </c>
      <c r="D275" t="s">
        <v>1135</v>
      </c>
      <c r="E275" t="s">
        <v>1136</v>
      </c>
      <c r="G275" t="s">
        <v>64</v>
      </c>
      <c r="H275" t="s">
        <v>39</v>
      </c>
      <c r="I275" t="s">
        <v>1137</v>
      </c>
    </row>
    <row r="276" spans="1:9" x14ac:dyDescent="0.25">
      <c r="A276" t="str">
        <f>"000010298"</f>
        <v>000010298</v>
      </c>
      <c r="B276" t="s">
        <v>1138</v>
      </c>
      <c r="D276" t="s">
        <v>1139</v>
      </c>
      <c r="G276" t="s">
        <v>1140</v>
      </c>
      <c r="H276" t="s">
        <v>13</v>
      </c>
      <c r="I276" t="s">
        <v>1141</v>
      </c>
    </row>
    <row r="277" spans="1:9" x14ac:dyDescent="0.25">
      <c r="A277" t="str">
        <f>"000010275"</f>
        <v>000010275</v>
      </c>
      <c r="B277" t="s">
        <v>1142</v>
      </c>
      <c r="D277" t="s">
        <v>1143</v>
      </c>
      <c r="E277" t="s">
        <v>1144</v>
      </c>
      <c r="G277" t="s">
        <v>60</v>
      </c>
      <c r="H277" t="s">
        <v>28</v>
      </c>
      <c r="I277" t="s">
        <v>1145</v>
      </c>
    </row>
    <row r="278" spans="1:9" x14ac:dyDescent="0.25">
      <c r="A278" t="str">
        <f>"000010023"</f>
        <v>000010023</v>
      </c>
      <c r="B278" t="s">
        <v>1146</v>
      </c>
      <c r="D278" t="s">
        <v>1147</v>
      </c>
      <c r="G278" t="s">
        <v>60</v>
      </c>
      <c r="H278" t="s">
        <v>28</v>
      </c>
      <c r="I278" t="s">
        <v>1148</v>
      </c>
    </row>
    <row r="279" spans="1:9" x14ac:dyDescent="0.25">
      <c r="A279" t="str">
        <f>"000010416"</f>
        <v>000010416</v>
      </c>
      <c r="B279" t="s">
        <v>1149</v>
      </c>
      <c r="D279" t="s">
        <v>1150</v>
      </c>
      <c r="G279" t="s">
        <v>64</v>
      </c>
      <c r="H279" t="s">
        <v>39</v>
      </c>
      <c r="I279" t="s">
        <v>1151</v>
      </c>
    </row>
    <row r="280" spans="1:9" x14ac:dyDescent="0.25">
      <c r="A280" t="str">
        <f>"000011448"</f>
        <v>000011448</v>
      </c>
      <c r="B280" t="s">
        <v>1152</v>
      </c>
      <c r="D280" t="s">
        <v>1153</v>
      </c>
      <c r="G280" t="s">
        <v>1154</v>
      </c>
      <c r="H280" t="s">
        <v>13</v>
      </c>
      <c r="I280" t="s">
        <v>1155</v>
      </c>
    </row>
    <row r="281" spans="1:9" x14ac:dyDescent="0.25">
      <c r="A281" t="str">
        <f>"000011431"</f>
        <v>000011431</v>
      </c>
      <c r="B281" t="s">
        <v>1156</v>
      </c>
      <c r="D281" t="s">
        <v>1157</v>
      </c>
      <c r="E281" t="s">
        <v>1158</v>
      </c>
      <c r="G281" t="s">
        <v>64</v>
      </c>
      <c r="H281" t="s">
        <v>39</v>
      </c>
      <c r="I281" t="s">
        <v>1159</v>
      </c>
    </row>
    <row r="282" spans="1:9" x14ac:dyDescent="0.25">
      <c r="A282" t="str">
        <f>"000011021"</f>
        <v>000011021</v>
      </c>
      <c r="B282" t="s">
        <v>1160</v>
      </c>
      <c r="D282" t="s">
        <v>1161</v>
      </c>
      <c r="G282" t="s">
        <v>17</v>
      </c>
      <c r="H282" t="s">
        <v>13</v>
      </c>
      <c r="I282" t="s">
        <v>1162</v>
      </c>
    </row>
    <row r="283" spans="1:9" x14ac:dyDescent="0.25">
      <c r="A283" t="str">
        <f>"000011920"</f>
        <v>000011920</v>
      </c>
      <c r="B283" t="s">
        <v>1163</v>
      </c>
      <c r="D283" t="s">
        <v>1164</v>
      </c>
      <c r="G283" t="s">
        <v>176</v>
      </c>
      <c r="H283" t="s">
        <v>75</v>
      </c>
      <c r="I283" t="s">
        <v>1165</v>
      </c>
    </row>
    <row r="284" spans="1:9" x14ac:dyDescent="0.25">
      <c r="A284" t="str">
        <f>"000863111"</f>
        <v>000863111</v>
      </c>
      <c r="B284" t="s">
        <v>1166</v>
      </c>
      <c r="D284" t="s">
        <v>1167</v>
      </c>
      <c r="E284" t="s">
        <v>1168</v>
      </c>
      <c r="G284" t="s">
        <v>1169</v>
      </c>
      <c r="H284" t="s">
        <v>131</v>
      </c>
      <c r="I284" t="s">
        <v>1170</v>
      </c>
    </row>
    <row r="285" spans="1:9" x14ac:dyDescent="0.25">
      <c r="A285" t="str">
        <f>"000011197"</f>
        <v>000011197</v>
      </c>
      <c r="B285" t="s">
        <v>1171</v>
      </c>
      <c r="D285" t="s">
        <v>1172</v>
      </c>
      <c r="G285" t="s">
        <v>60</v>
      </c>
      <c r="H285" t="s">
        <v>28</v>
      </c>
      <c r="I285" t="s">
        <v>1173</v>
      </c>
    </row>
    <row r="286" spans="1:9" x14ac:dyDescent="0.25">
      <c r="A286" t="str">
        <f>"000010725"</f>
        <v>000010725</v>
      </c>
      <c r="B286" t="s">
        <v>1174</v>
      </c>
      <c r="D286" t="s">
        <v>1175</v>
      </c>
      <c r="E286" t="s">
        <v>1176</v>
      </c>
      <c r="G286" t="s">
        <v>1177</v>
      </c>
      <c r="H286" t="s">
        <v>182</v>
      </c>
      <c r="I286" t="s">
        <v>1178</v>
      </c>
    </row>
    <row r="287" spans="1:9" x14ac:dyDescent="0.25">
      <c r="A287" t="str">
        <f>"000010479"</f>
        <v>000010479</v>
      </c>
      <c r="B287" t="s">
        <v>1179</v>
      </c>
      <c r="D287" t="s">
        <v>1180</v>
      </c>
      <c r="E287" t="s">
        <v>1181</v>
      </c>
      <c r="G287" t="s">
        <v>1182</v>
      </c>
      <c r="H287" t="s">
        <v>51</v>
      </c>
      <c r="I287" t="s">
        <v>1183</v>
      </c>
    </row>
    <row r="288" spans="1:9" x14ac:dyDescent="0.25">
      <c r="A288" t="str">
        <f>"000010466"</f>
        <v>000010466</v>
      </c>
      <c r="B288" t="s">
        <v>1184</v>
      </c>
      <c r="D288" t="s">
        <v>1185</v>
      </c>
      <c r="E288" t="s">
        <v>1186</v>
      </c>
      <c r="G288" t="s">
        <v>1187</v>
      </c>
      <c r="H288" t="s">
        <v>166</v>
      </c>
      <c r="I288" t="s">
        <v>1188</v>
      </c>
    </row>
    <row r="289" spans="1:9" x14ac:dyDescent="0.25">
      <c r="A289" t="str">
        <f>"000814972"</f>
        <v>000814972</v>
      </c>
      <c r="B289" t="s">
        <v>1189</v>
      </c>
      <c r="D289" t="s">
        <v>1190</v>
      </c>
      <c r="G289" t="s">
        <v>1191</v>
      </c>
      <c r="H289" t="s">
        <v>28</v>
      </c>
      <c r="I289" t="s">
        <v>1192</v>
      </c>
    </row>
    <row r="290" spans="1:9" x14ac:dyDescent="0.25">
      <c r="A290" t="str">
        <f>"000863157"</f>
        <v>000863157</v>
      </c>
      <c r="B290" t="s">
        <v>1193</v>
      </c>
      <c r="D290" t="s">
        <v>1194</v>
      </c>
      <c r="G290" t="s">
        <v>64</v>
      </c>
      <c r="H290" t="s">
        <v>39</v>
      </c>
      <c r="I290" t="s">
        <v>1195</v>
      </c>
    </row>
    <row r="291" spans="1:9" x14ac:dyDescent="0.25">
      <c r="A291" t="str">
        <f>"000857351"</f>
        <v>000857351</v>
      </c>
      <c r="B291" t="s">
        <v>1196</v>
      </c>
      <c r="D291" t="s">
        <v>1197</v>
      </c>
      <c r="G291" t="s">
        <v>949</v>
      </c>
      <c r="H291" t="s">
        <v>34</v>
      </c>
      <c r="I291" t="s">
        <v>1198</v>
      </c>
    </row>
    <row r="292" spans="1:9" x14ac:dyDescent="0.25">
      <c r="A292" t="str">
        <f>"000812371"</f>
        <v>000812371</v>
      </c>
      <c r="B292" t="s">
        <v>1199</v>
      </c>
      <c r="D292" t="s">
        <v>1200</v>
      </c>
      <c r="G292" t="s">
        <v>38</v>
      </c>
      <c r="H292" t="s">
        <v>39</v>
      </c>
      <c r="I292" t="s">
        <v>1201</v>
      </c>
    </row>
    <row r="293" spans="1:9" x14ac:dyDescent="0.25">
      <c r="A293" t="str">
        <f>"000845765"</f>
        <v>000845765</v>
      </c>
      <c r="B293" t="s">
        <v>1202</v>
      </c>
      <c r="D293" t="s">
        <v>1203</v>
      </c>
      <c r="G293" t="s">
        <v>130</v>
      </c>
      <c r="H293" t="s">
        <v>131</v>
      </c>
      <c r="I293" t="s">
        <v>1204</v>
      </c>
    </row>
    <row r="294" spans="1:9" x14ac:dyDescent="0.25">
      <c r="A294" t="str">
        <f>"000836167"</f>
        <v>000836167</v>
      </c>
      <c r="B294" t="s">
        <v>1205</v>
      </c>
      <c r="D294" t="s">
        <v>1206</v>
      </c>
      <c r="G294" t="s">
        <v>267</v>
      </c>
      <c r="H294" t="s">
        <v>39</v>
      </c>
      <c r="I294" t="s">
        <v>1207</v>
      </c>
    </row>
    <row r="295" spans="1:9" x14ac:dyDescent="0.25">
      <c r="A295" t="str">
        <f>"000807199"</f>
        <v>000807199</v>
      </c>
      <c r="B295" t="s">
        <v>1208</v>
      </c>
      <c r="D295" t="s">
        <v>1209</v>
      </c>
      <c r="E295" t="s">
        <v>1210</v>
      </c>
      <c r="G295" t="s">
        <v>1211</v>
      </c>
      <c r="H295" t="s">
        <v>100</v>
      </c>
      <c r="I295" t="s">
        <v>1212</v>
      </c>
    </row>
    <row r="296" spans="1:9" x14ac:dyDescent="0.25">
      <c r="A296" t="str">
        <f>"000871299"</f>
        <v>000871299</v>
      </c>
      <c r="B296" t="s">
        <v>1213</v>
      </c>
      <c r="D296" t="s">
        <v>1214</v>
      </c>
      <c r="E296" t="s">
        <v>1215</v>
      </c>
      <c r="G296" t="s">
        <v>1039</v>
      </c>
      <c r="H296" t="s">
        <v>221</v>
      </c>
      <c r="I296">
        <v>48309</v>
      </c>
    </row>
    <row r="297" spans="1:9" x14ac:dyDescent="0.25">
      <c r="A297" t="str">
        <f>"000860037"</f>
        <v>000860037</v>
      </c>
      <c r="B297" t="s">
        <v>1216</v>
      </c>
      <c r="D297" t="s">
        <v>1217</v>
      </c>
      <c r="G297" t="s">
        <v>523</v>
      </c>
      <c r="H297" t="s">
        <v>524</v>
      </c>
      <c r="I297" t="s">
        <v>1218</v>
      </c>
    </row>
    <row r="298" spans="1:9" x14ac:dyDescent="0.25">
      <c r="A298" t="str">
        <f>"000873577"</f>
        <v>000873577</v>
      </c>
      <c r="B298" t="s">
        <v>1219</v>
      </c>
      <c r="D298" t="s">
        <v>1220</v>
      </c>
      <c r="G298" t="s">
        <v>1221</v>
      </c>
      <c r="H298" t="s">
        <v>182</v>
      </c>
      <c r="I298" t="s">
        <v>1222</v>
      </c>
    </row>
    <row r="299" spans="1:9" x14ac:dyDescent="0.25">
      <c r="A299" t="str">
        <f>"000873611"</f>
        <v>000873611</v>
      </c>
      <c r="B299" t="s">
        <v>1223</v>
      </c>
      <c r="D299" t="s">
        <v>1224</v>
      </c>
      <c r="G299" t="s">
        <v>949</v>
      </c>
      <c r="H299" t="s">
        <v>34</v>
      </c>
      <c r="I299" t="s">
        <v>1225</v>
      </c>
    </row>
    <row r="300" spans="1:9" x14ac:dyDescent="0.25">
      <c r="A300" t="str">
        <f>"000858849"</f>
        <v>000858849</v>
      </c>
      <c r="B300" t="s">
        <v>1226</v>
      </c>
      <c r="D300" t="s">
        <v>1227</v>
      </c>
      <c r="E300" t="s">
        <v>1228</v>
      </c>
      <c r="F300" t="s">
        <v>1229</v>
      </c>
      <c r="G300" t="s">
        <v>1230</v>
      </c>
      <c r="H300" t="s">
        <v>468</v>
      </c>
      <c r="I300" t="s">
        <v>1231</v>
      </c>
    </row>
    <row r="301" spans="1:9" x14ac:dyDescent="0.25">
      <c r="A301" t="str">
        <f>"000869160"</f>
        <v>000869160</v>
      </c>
      <c r="B301" t="s">
        <v>1232</v>
      </c>
      <c r="D301" t="s">
        <v>1233</v>
      </c>
      <c r="G301" t="s">
        <v>591</v>
      </c>
      <c r="H301" t="s">
        <v>1234</v>
      </c>
      <c r="I301" t="s">
        <v>1235</v>
      </c>
    </row>
    <row r="302" spans="1:9" x14ac:dyDescent="0.25">
      <c r="A302" t="str">
        <f>"000912080"</f>
        <v>000912080</v>
      </c>
      <c r="B302" t="s">
        <v>1236</v>
      </c>
      <c r="D302" t="s">
        <v>1237</v>
      </c>
      <c r="G302" t="s">
        <v>64</v>
      </c>
      <c r="H302" t="s">
        <v>39</v>
      </c>
      <c r="I302" t="s">
        <v>1238</v>
      </c>
    </row>
    <row r="303" spans="1:9" x14ac:dyDescent="0.25">
      <c r="A303" t="str">
        <f>"000803318"</f>
        <v>000803318</v>
      </c>
      <c r="B303" t="s">
        <v>1239</v>
      </c>
      <c r="D303" t="s">
        <v>1240</v>
      </c>
      <c r="E303" t="s">
        <v>1241</v>
      </c>
      <c r="G303" t="s">
        <v>1242</v>
      </c>
      <c r="H303" t="s">
        <v>221</v>
      </c>
      <c r="I303" t="s">
        <v>1243</v>
      </c>
    </row>
    <row r="304" spans="1:9" x14ac:dyDescent="0.25">
      <c r="A304" t="str">
        <f>"000880538"</f>
        <v>000880538</v>
      </c>
      <c r="B304" t="s">
        <v>1244</v>
      </c>
      <c r="D304" t="s">
        <v>1245</v>
      </c>
      <c r="E304" t="s">
        <v>1246</v>
      </c>
      <c r="G304" t="s">
        <v>1247</v>
      </c>
      <c r="H304" t="s">
        <v>809</v>
      </c>
      <c r="I304" t="s">
        <v>1248</v>
      </c>
    </row>
    <row r="305" spans="1:9" x14ac:dyDescent="0.25">
      <c r="A305" t="str">
        <f>"000806850"</f>
        <v>000806850</v>
      </c>
      <c r="B305" t="s">
        <v>1249</v>
      </c>
      <c r="D305" t="s">
        <v>1250</v>
      </c>
      <c r="E305" t="s">
        <v>1251</v>
      </c>
      <c r="F305" t="s">
        <v>1252</v>
      </c>
      <c r="G305" t="s">
        <v>38</v>
      </c>
      <c r="H305" t="s">
        <v>39</v>
      </c>
      <c r="I305" t="s">
        <v>1253</v>
      </c>
    </row>
    <row r="306" spans="1:9" x14ac:dyDescent="0.25">
      <c r="A306" t="str">
        <f>"000806948"</f>
        <v>000806948</v>
      </c>
      <c r="B306" t="s">
        <v>1254</v>
      </c>
      <c r="D306" t="s">
        <v>1255</v>
      </c>
      <c r="E306" t="s">
        <v>112</v>
      </c>
      <c r="G306" t="s">
        <v>1256</v>
      </c>
      <c r="H306" t="s">
        <v>75</v>
      </c>
      <c r="I306" t="s">
        <v>1257</v>
      </c>
    </row>
    <row r="307" spans="1:9" x14ac:dyDescent="0.25">
      <c r="A307" t="str">
        <f>"000926820"</f>
        <v>000926820</v>
      </c>
      <c r="B307" t="s">
        <v>1258</v>
      </c>
      <c r="D307" t="s">
        <v>1259</v>
      </c>
      <c r="G307" t="s">
        <v>60</v>
      </c>
      <c r="H307" t="s">
        <v>28</v>
      </c>
      <c r="I307" t="s">
        <v>1260</v>
      </c>
    </row>
    <row r="308" spans="1:9" x14ac:dyDescent="0.25">
      <c r="A308" t="str">
        <f>"000928220"</f>
        <v>000928220</v>
      </c>
      <c r="B308" t="s">
        <v>1261</v>
      </c>
      <c r="D308" t="s">
        <v>1262</v>
      </c>
      <c r="E308" t="s">
        <v>1263</v>
      </c>
      <c r="F308" t="s">
        <v>1264</v>
      </c>
      <c r="G308" t="s">
        <v>1265</v>
      </c>
      <c r="H308" t="s">
        <v>182</v>
      </c>
      <c r="I308" t="s">
        <v>1266</v>
      </c>
    </row>
    <row r="309" spans="1:9" x14ac:dyDescent="0.25">
      <c r="A309" t="str">
        <f>"000222996"</f>
        <v>000222996</v>
      </c>
      <c r="B309" t="s">
        <v>1267</v>
      </c>
      <c r="D309" t="s">
        <v>1268</v>
      </c>
      <c r="G309" t="s">
        <v>64</v>
      </c>
      <c r="H309" t="s">
        <v>39</v>
      </c>
      <c r="I309" t="s">
        <v>1269</v>
      </c>
    </row>
    <row r="310" spans="1:9" x14ac:dyDescent="0.25">
      <c r="A310" t="str">
        <f>"000571772"</f>
        <v>000571772</v>
      </c>
      <c r="B310" t="s">
        <v>1270</v>
      </c>
      <c r="D310" t="s">
        <v>1271</v>
      </c>
      <c r="G310" t="s">
        <v>214</v>
      </c>
      <c r="H310" t="s">
        <v>120</v>
      </c>
      <c r="I310" t="s">
        <v>1272</v>
      </c>
    </row>
    <row r="311" spans="1:9" x14ac:dyDescent="0.25">
      <c r="A311" t="str">
        <f>"000159851"</f>
        <v>000159851</v>
      </c>
      <c r="B311" t="s">
        <v>1273</v>
      </c>
      <c r="D311" t="s">
        <v>1274</v>
      </c>
      <c r="E311" t="s">
        <v>1275</v>
      </c>
      <c r="G311" t="s">
        <v>64</v>
      </c>
      <c r="H311" t="s">
        <v>39</v>
      </c>
      <c r="I311" t="s">
        <v>1276</v>
      </c>
    </row>
    <row r="312" spans="1:9" x14ac:dyDescent="0.25">
      <c r="A312" t="str">
        <f>"000220956"</f>
        <v>000220956</v>
      </c>
      <c r="B312" t="s">
        <v>1277</v>
      </c>
      <c r="D312" t="s">
        <v>1278</v>
      </c>
      <c r="G312" t="s">
        <v>994</v>
      </c>
      <c r="H312" t="s">
        <v>879</v>
      </c>
      <c r="I312" t="s">
        <v>1279</v>
      </c>
    </row>
    <row r="313" spans="1:9" x14ac:dyDescent="0.25">
      <c r="A313" t="str">
        <f>"000598967"</f>
        <v>000598967</v>
      </c>
      <c r="B313" t="s">
        <v>1280</v>
      </c>
      <c r="D313" t="s">
        <v>1281</v>
      </c>
      <c r="E313" t="s">
        <v>1282</v>
      </c>
      <c r="F313" t="s">
        <v>1283</v>
      </c>
      <c r="G313" t="s">
        <v>1284</v>
      </c>
      <c r="H313" t="s">
        <v>809</v>
      </c>
      <c r="I313" t="s">
        <v>1285</v>
      </c>
    </row>
    <row r="314" spans="1:9" x14ac:dyDescent="0.25">
      <c r="A314" t="str">
        <f>"000217202"</f>
        <v>000217202</v>
      </c>
      <c r="B314" t="s">
        <v>1286</v>
      </c>
      <c r="D314" t="s">
        <v>1287</v>
      </c>
      <c r="E314" t="s">
        <v>1288</v>
      </c>
      <c r="G314" t="s">
        <v>1289</v>
      </c>
      <c r="H314" t="s">
        <v>84</v>
      </c>
      <c r="I314" t="s">
        <v>1290</v>
      </c>
    </row>
    <row r="315" spans="1:9" x14ac:dyDescent="0.25">
      <c r="A315" t="str">
        <f>"000181291"</f>
        <v>000181291</v>
      </c>
      <c r="B315" t="s">
        <v>1291</v>
      </c>
      <c r="D315" t="s">
        <v>1292</v>
      </c>
      <c r="G315" t="s">
        <v>64</v>
      </c>
      <c r="H315" t="s">
        <v>39</v>
      </c>
      <c r="I315" t="s">
        <v>1293</v>
      </c>
    </row>
    <row r="316" spans="1:9" x14ac:dyDescent="0.25">
      <c r="A316" t="str">
        <f>"000173618"</f>
        <v>000173618</v>
      </c>
      <c r="B316" t="s">
        <v>537</v>
      </c>
      <c r="D316" t="s">
        <v>1294</v>
      </c>
      <c r="G316" t="s">
        <v>1295</v>
      </c>
      <c r="H316" t="s">
        <v>540</v>
      </c>
      <c r="I316" t="s">
        <v>1296</v>
      </c>
    </row>
    <row r="317" spans="1:9" x14ac:dyDescent="0.25">
      <c r="A317" t="str">
        <f>"000159974"</f>
        <v>000159974</v>
      </c>
      <c r="B317" t="s">
        <v>1297</v>
      </c>
      <c r="D317" t="s">
        <v>1298</v>
      </c>
      <c r="G317" t="s">
        <v>64</v>
      </c>
      <c r="H317" t="s">
        <v>39</v>
      </c>
      <c r="I317" t="s">
        <v>1299</v>
      </c>
    </row>
    <row r="318" spans="1:9" x14ac:dyDescent="0.25">
      <c r="A318" t="str">
        <f>"000208899"</f>
        <v>000208899</v>
      </c>
      <c r="B318" t="s">
        <v>1300</v>
      </c>
      <c r="D318" t="s">
        <v>1301</v>
      </c>
      <c r="G318" t="s">
        <v>64</v>
      </c>
      <c r="H318" t="s">
        <v>39</v>
      </c>
      <c r="I318" t="s">
        <v>1302</v>
      </c>
    </row>
    <row r="319" spans="1:9" x14ac:dyDescent="0.25">
      <c r="A319" t="str">
        <f>"000917700"</f>
        <v>000917700</v>
      </c>
      <c r="B319" t="s">
        <v>1303</v>
      </c>
      <c r="D319" t="s">
        <v>1304</v>
      </c>
      <c r="G319" t="s">
        <v>1305</v>
      </c>
      <c r="H319" t="s">
        <v>131</v>
      </c>
      <c r="I319" t="s">
        <v>1306</v>
      </c>
    </row>
    <row r="320" spans="1:9" x14ac:dyDescent="0.25">
      <c r="A320" t="str">
        <f>"000157633"</f>
        <v>000157633</v>
      </c>
      <c r="B320" t="s">
        <v>1307</v>
      </c>
      <c r="D320" t="s">
        <v>1308</v>
      </c>
      <c r="E320" t="s">
        <v>1309</v>
      </c>
      <c r="G320" t="s">
        <v>1310</v>
      </c>
      <c r="H320" t="s">
        <v>13</v>
      </c>
      <c r="I320" t="s">
        <v>1311</v>
      </c>
    </row>
    <row r="321" spans="1:9" x14ac:dyDescent="0.25">
      <c r="A321" t="str">
        <f>"000323016"</f>
        <v>000323016</v>
      </c>
      <c r="B321" t="s">
        <v>1312</v>
      </c>
      <c r="D321" t="s">
        <v>1313</v>
      </c>
      <c r="E321" t="s">
        <v>1314</v>
      </c>
      <c r="G321" t="s">
        <v>1315</v>
      </c>
      <c r="H321" t="s">
        <v>166</v>
      </c>
      <c r="I321" t="s">
        <v>1316</v>
      </c>
    </row>
    <row r="322" spans="1:9" x14ac:dyDescent="0.25">
      <c r="A322" t="str">
        <f>"000323024"</f>
        <v>000323024</v>
      </c>
      <c r="B322" t="s">
        <v>1317</v>
      </c>
      <c r="D322" t="s">
        <v>1318</v>
      </c>
      <c r="E322" t="s">
        <v>1319</v>
      </c>
      <c r="G322" t="s">
        <v>1320</v>
      </c>
      <c r="H322" t="s">
        <v>131</v>
      </c>
      <c r="I322" t="s">
        <v>1321</v>
      </c>
    </row>
    <row r="323" spans="1:9" x14ac:dyDescent="0.25">
      <c r="A323" t="str">
        <f>"000930329"</f>
        <v>000930329</v>
      </c>
      <c r="B323" t="s">
        <v>1322</v>
      </c>
      <c r="D323" t="s">
        <v>1323</v>
      </c>
      <c r="G323" t="s">
        <v>1324</v>
      </c>
      <c r="H323" t="s">
        <v>100</v>
      </c>
      <c r="I323" t="s">
        <v>1325</v>
      </c>
    </row>
    <row r="324" spans="1:9" x14ac:dyDescent="0.25">
      <c r="A324" t="str">
        <f>"000925895"</f>
        <v>000925895</v>
      </c>
      <c r="B324" t="s">
        <v>1326</v>
      </c>
      <c r="D324" t="s">
        <v>1327</v>
      </c>
      <c r="E324" t="s">
        <v>1328</v>
      </c>
      <c r="G324" t="s">
        <v>64</v>
      </c>
      <c r="H324" t="s">
        <v>39</v>
      </c>
      <c r="I324" t="s">
        <v>1329</v>
      </c>
    </row>
    <row r="325" spans="1:9" x14ac:dyDescent="0.25">
      <c r="A325" t="str">
        <f>"000322295"</f>
        <v>000322295</v>
      </c>
      <c r="B325" t="s">
        <v>1330</v>
      </c>
      <c r="D325" t="s">
        <v>1331</v>
      </c>
      <c r="E325" t="s">
        <v>1332</v>
      </c>
      <c r="G325" t="s">
        <v>60</v>
      </c>
      <c r="H325" t="s">
        <v>28</v>
      </c>
      <c r="I325" t="s">
        <v>1333</v>
      </c>
    </row>
    <row r="326" spans="1:9" x14ac:dyDescent="0.25">
      <c r="A326" t="str">
        <f>"000180617"</f>
        <v>000180617</v>
      </c>
      <c r="B326" t="s">
        <v>1334</v>
      </c>
      <c r="D326" t="s">
        <v>1335</v>
      </c>
      <c r="G326" t="s">
        <v>1336</v>
      </c>
      <c r="H326" t="s">
        <v>23</v>
      </c>
      <c r="I326" t="s">
        <v>1337</v>
      </c>
    </row>
    <row r="327" spans="1:9" x14ac:dyDescent="0.25">
      <c r="A327" t="str">
        <f>"000323265"</f>
        <v>000323265</v>
      </c>
      <c r="B327" t="s">
        <v>1338</v>
      </c>
      <c r="D327" t="s">
        <v>1339</v>
      </c>
      <c r="E327" t="s">
        <v>1340</v>
      </c>
      <c r="F327" t="s">
        <v>1341</v>
      </c>
      <c r="G327" t="s">
        <v>1342</v>
      </c>
      <c r="H327" t="s">
        <v>1343</v>
      </c>
      <c r="I327" t="s">
        <v>1344</v>
      </c>
    </row>
    <row r="328" spans="1:9" x14ac:dyDescent="0.25">
      <c r="A328" t="str">
        <f>"000200999"</f>
        <v>000200999</v>
      </c>
      <c r="B328" t="s">
        <v>1345</v>
      </c>
      <c r="D328" t="s">
        <v>1346</v>
      </c>
      <c r="E328" t="s">
        <v>1347</v>
      </c>
      <c r="F328" t="s">
        <v>1348</v>
      </c>
      <c r="G328" t="s">
        <v>1349</v>
      </c>
      <c r="H328" t="s">
        <v>34</v>
      </c>
      <c r="I328" t="s">
        <v>1350</v>
      </c>
    </row>
    <row r="329" spans="1:9" x14ac:dyDescent="0.25">
      <c r="A329" t="str">
        <f>"000324229"</f>
        <v>000324229</v>
      </c>
      <c r="B329" t="s">
        <v>1351</v>
      </c>
      <c r="D329" t="s">
        <v>1352</v>
      </c>
      <c r="E329" t="s">
        <v>1353</v>
      </c>
      <c r="G329" t="s">
        <v>60</v>
      </c>
      <c r="H329" t="s">
        <v>28</v>
      </c>
      <c r="I329" t="s">
        <v>1354</v>
      </c>
    </row>
    <row r="330" spans="1:9" x14ac:dyDescent="0.25">
      <c r="A330" t="str">
        <f>"000322848"</f>
        <v>000322848</v>
      </c>
      <c r="B330" t="s">
        <v>1355</v>
      </c>
      <c r="D330" t="s">
        <v>1356</v>
      </c>
      <c r="G330" t="s">
        <v>64</v>
      </c>
      <c r="H330" t="s">
        <v>39</v>
      </c>
      <c r="I330" t="s">
        <v>1357</v>
      </c>
    </row>
    <row r="331" spans="1:9" x14ac:dyDescent="0.25">
      <c r="A331" t="str">
        <f>"000322850"</f>
        <v>000322850</v>
      </c>
      <c r="B331" t="s">
        <v>1358</v>
      </c>
      <c r="D331" t="s">
        <v>1359</v>
      </c>
      <c r="E331" t="s">
        <v>1360</v>
      </c>
      <c r="F331" t="s">
        <v>1361</v>
      </c>
      <c r="G331" t="s">
        <v>1362</v>
      </c>
      <c r="H331" t="s">
        <v>131</v>
      </c>
      <c r="I331" t="s">
        <v>1363</v>
      </c>
    </row>
    <row r="332" spans="1:9" x14ac:dyDescent="0.25">
      <c r="A332" t="str">
        <f>"000322528"</f>
        <v>000322528</v>
      </c>
      <c r="B332" t="s">
        <v>1364</v>
      </c>
      <c r="D332" t="s">
        <v>1365</v>
      </c>
      <c r="G332" t="s">
        <v>64</v>
      </c>
      <c r="H332" t="s">
        <v>39</v>
      </c>
      <c r="I332" t="s">
        <v>1366</v>
      </c>
    </row>
    <row r="333" spans="1:9" x14ac:dyDescent="0.25">
      <c r="A333" t="str">
        <f>"000324127"</f>
        <v>000324127</v>
      </c>
      <c r="B333" t="s">
        <v>1367</v>
      </c>
      <c r="D333" t="s">
        <v>1368</v>
      </c>
      <c r="E333" t="s">
        <v>1369</v>
      </c>
      <c r="G333" t="s">
        <v>1370</v>
      </c>
      <c r="H333" t="s">
        <v>70</v>
      </c>
      <c r="I333" t="s">
        <v>1371</v>
      </c>
    </row>
    <row r="334" spans="1:9" x14ac:dyDescent="0.25">
      <c r="A334" t="str">
        <f>"000322791"</f>
        <v>000322791</v>
      </c>
      <c r="B334" t="s">
        <v>1372</v>
      </c>
      <c r="D334" t="s">
        <v>1373</v>
      </c>
      <c r="E334" t="s">
        <v>1374</v>
      </c>
      <c r="G334" t="s">
        <v>1375</v>
      </c>
      <c r="H334" t="s">
        <v>152</v>
      </c>
      <c r="I334" t="s">
        <v>1376</v>
      </c>
    </row>
    <row r="335" spans="1:9" x14ac:dyDescent="0.25">
      <c r="A335" t="str">
        <f>"000322796"</f>
        <v>000322796</v>
      </c>
      <c r="B335" t="s">
        <v>1377</v>
      </c>
      <c r="D335" t="s">
        <v>1378</v>
      </c>
      <c r="G335" t="s">
        <v>64</v>
      </c>
      <c r="H335" t="s">
        <v>39</v>
      </c>
      <c r="I335" t="s">
        <v>1379</v>
      </c>
    </row>
    <row r="336" spans="1:9" x14ac:dyDescent="0.25">
      <c r="A336" t="str">
        <f>"000324207"</f>
        <v>000324207</v>
      </c>
      <c r="B336" t="s">
        <v>1380</v>
      </c>
      <c r="D336" t="s">
        <v>1381</v>
      </c>
      <c r="E336" t="s">
        <v>1382</v>
      </c>
      <c r="G336" t="s">
        <v>64</v>
      </c>
      <c r="H336" t="s">
        <v>39</v>
      </c>
      <c r="I336" t="s">
        <v>1383</v>
      </c>
    </row>
    <row r="337" spans="1:9" x14ac:dyDescent="0.25">
      <c r="A337" t="str">
        <f>"000323857"</f>
        <v>000323857</v>
      </c>
      <c r="B337" t="s">
        <v>1384</v>
      </c>
      <c r="D337" t="s">
        <v>1385</v>
      </c>
      <c r="G337" t="s">
        <v>1386</v>
      </c>
      <c r="H337" t="s">
        <v>39</v>
      </c>
      <c r="I337" t="s">
        <v>1387</v>
      </c>
    </row>
    <row r="338" spans="1:9" x14ac:dyDescent="0.25">
      <c r="A338" t="str">
        <f>"000202806"</f>
        <v>000202806</v>
      </c>
      <c r="B338" t="s">
        <v>1388</v>
      </c>
      <c r="D338" t="s">
        <v>1389</v>
      </c>
      <c r="G338" t="s">
        <v>38</v>
      </c>
      <c r="H338" t="s">
        <v>39</v>
      </c>
      <c r="I338" t="s">
        <v>1390</v>
      </c>
    </row>
    <row r="339" spans="1:9" x14ac:dyDescent="0.25">
      <c r="A339" t="str">
        <f>"000322621"</f>
        <v>000322621</v>
      </c>
      <c r="B339" t="s">
        <v>1391</v>
      </c>
      <c r="D339" t="s">
        <v>1392</v>
      </c>
      <c r="E339" t="s">
        <v>1393</v>
      </c>
      <c r="G339" t="s">
        <v>38</v>
      </c>
      <c r="H339" t="s">
        <v>39</v>
      </c>
      <c r="I339" t="s">
        <v>1394</v>
      </c>
    </row>
    <row r="340" spans="1:9" x14ac:dyDescent="0.25">
      <c r="A340" t="str">
        <f>"000214563"</f>
        <v>000214563</v>
      </c>
      <c r="B340" t="s">
        <v>1395</v>
      </c>
      <c r="D340" t="s">
        <v>1396</v>
      </c>
      <c r="E340" t="s">
        <v>1397</v>
      </c>
      <c r="G340" t="s">
        <v>64</v>
      </c>
      <c r="H340" t="s">
        <v>39</v>
      </c>
      <c r="I340" t="s">
        <v>1398</v>
      </c>
    </row>
    <row r="341" spans="1:9" x14ac:dyDescent="0.25">
      <c r="A341" t="str">
        <f>"000236925"</f>
        <v>000236925</v>
      </c>
      <c r="B341" t="s">
        <v>1399</v>
      </c>
      <c r="D341" t="s">
        <v>1400</v>
      </c>
      <c r="G341" t="s">
        <v>582</v>
      </c>
      <c r="H341" t="s">
        <v>540</v>
      </c>
      <c r="I341" t="s">
        <v>1401</v>
      </c>
    </row>
    <row r="342" spans="1:9" x14ac:dyDescent="0.25">
      <c r="A342" t="str">
        <f>"000298833"</f>
        <v>000298833</v>
      </c>
      <c r="B342" t="s">
        <v>1402</v>
      </c>
      <c r="D342" t="s">
        <v>1403</v>
      </c>
      <c r="G342" t="s">
        <v>1404</v>
      </c>
      <c r="I342">
        <v>27639</v>
      </c>
    </row>
    <row r="343" spans="1:9" x14ac:dyDescent="0.25">
      <c r="A343" t="str">
        <f>"000244498"</f>
        <v>000244498</v>
      </c>
      <c r="B343" t="s">
        <v>1405</v>
      </c>
      <c r="D343" t="s">
        <v>1406</v>
      </c>
      <c r="E343" t="s">
        <v>1407</v>
      </c>
      <c r="G343" t="s">
        <v>90</v>
      </c>
      <c r="H343" t="s">
        <v>39</v>
      </c>
      <c r="I343" t="s">
        <v>1408</v>
      </c>
    </row>
    <row r="344" spans="1:9" x14ac:dyDescent="0.25">
      <c r="A344" t="str">
        <f>"000290127"</f>
        <v>000290127</v>
      </c>
      <c r="B344" t="s">
        <v>1409</v>
      </c>
      <c r="D344" t="s">
        <v>1410</v>
      </c>
      <c r="E344" t="s">
        <v>1411</v>
      </c>
      <c r="G344" t="s">
        <v>64</v>
      </c>
      <c r="H344" t="s">
        <v>39</v>
      </c>
      <c r="I344" t="s">
        <v>1412</v>
      </c>
    </row>
    <row r="345" spans="1:9" x14ac:dyDescent="0.25">
      <c r="A345" t="str">
        <f>"000301668"</f>
        <v>000301668</v>
      </c>
      <c r="B345" t="s">
        <v>1413</v>
      </c>
      <c r="D345" t="s">
        <v>1414</v>
      </c>
      <c r="G345" t="s">
        <v>64</v>
      </c>
      <c r="H345" t="s">
        <v>39</v>
      </c>
      <c r="I345" t="s">
        <v>1415</v>
      </c>
    </row>
    <row r="346" spans="1:9" x14ac:dyDescent="0.25">
      <c r="A346" t="str">
        <f>"000289195"</f>
        <v>000289195</v>
      </c>
      <c r="B346" t="s">
        <v>1416</v>
      </c>
      <c r="D346" t="s">
        <v>1417</v>
      </c>
      <c r="G346" t="s">
        <v>1418</v>
      </c>
      <c r="H346" t="s">
        <v>263</v>
      </c>
      <c r="I346" t="s">
        <v>1419</v>
      </c>
    </row>
    <row r="347" spans="1:9" x14ac:dyDescent="0.25">
      <c r="A347" t="str">
        <f>"000278275"</f>
        <v>000278275</v>
      </c>
      <c r="B347" t="s">
        <v>1420</v>
      </c>
      <c r="D347" t="s">
        <v>1421</v>
      </c>
      <c r="G347" t="s">
        <v>64</v>
      </c>
      <c r="H347" t="s">
        <v>39</v>
      </c>
      <c r="I347" t="s">
        <v>1422</v>
      </c>
    </row>
    <row r="348" spans="1:9" x14ac:dyDescent="0.25">
      <c r="A348" t="str">
        <f>"000289375"</f>
        <v>000289375</v>
      </c>
      <c r="B348" t="s">
        <v>1423</v>
      </c>
      <c r="D348" t="s">
        <v>1424</v>
      </c>
      <c r="E348" t="s">
        <v>1425</v>
      </c>
      <c r="G348" t="s">
        <v>83</v>
      </c>
      <c r="H348" t="s">
        <v>84</v>
      </c>
      <c r="I348" t="s">
        <v>1426</v>
      </c>
    </row>
    <row r="349" spans="1:9" x14ac:dyDescent="0.25">
      <c r="A349" t="str">
        <f>"000283470"</f>
        <v>000283470</v>
      </c>
      <c r="B349" t="s">
        <v>1427</v>
      </c>
      <c r="D349" t="s">
        <v>1428</v>
      </c>
      <c r="E349" t="s">
        <v>1429</v>
      </c>
      <c r="G349" t="s">
        <v>949</v>
      </c>
      <c r="H349" t="s">
        <v>34</v>
      </c>
      <c r="I349" t="s">
        <v>1430</v>
      </c>
    </row>
    <row r="350" spans="1:9" x14ac:dyDescent="0.25">
      <c r="A350" t="str">
        <f>"000272509"</f>
        <v>000272509</v>
      </c>
      <c r="B350" t="s">
        <v>1431</v>
      </c>
      <c r="D350" t="s">
        <v>1432</v>
      </c>
      <c r="E350" t="s">
        <v>112</v>
      </c>
      <c r="G350" t="s">
        <v>956</v>
      </c>
      <c r="H350" t="s">
        <v>957</v>
      </c>
      <c r="I350" t="s">
        <v>1433</v>
      </c>
    </row>
    <row r="351" spans="1:9" x14ac:dyDescent="0.25">
      <c r="A351" t="str">
        <f>"000352010"</f>
        <v>000352010</v>
      </c>
      <c r="B351" t="s">
        <v>1434</v>
      </c>
      <c r="D351" t="s">
        <v>1435</v>
      </c>
      <c r="E351" t="s">
        <v>1436</v>
      </c>
      <c r="G351" t="s">
        <v>1437</v>
      </c>
      <c r="H351" t="s">
        <v>120</v>
      </c>
      <c r="I351" t="s">
        <v>1438</v>
      </c>
    </row>
    <row r="352" spans="1:9" x14ac:dyDescent="0.25">
      <c r="A352" t="str">
        <f>"000297648"</f>
        <v>000297648</v>
      </c>
      <c r="B352" t="s">
        <v>1439</v>
      </c>
      <c r="D352" t="s">
        <v>1440</v>
      </c>
      <c r="G352" t="s">
        <v>64</v>
      </c>
      <c r="H352" t="s">
        <v>39</v>
      </c>
      <c r="I352" t="s">
        <v>1441</v>
      </c>
    </row>
    <row r="353" spans="1:9" x14ac:dyDescent="0.25">
      <c r="A353" t="str">
        <f>"000284706"</f>
        <v>000284706</v>
      </c>
      <c r="B353" t="s">
        <v>1442</v>
      </c>
      <c r="D353" t="s">
        <v>1443</v>
      </c>
      <c r="E353" t="s">
        <v>1444</v>
      </c>
      <c r="G353" t="s">
        <v>64</v>
      </c>
      <c r="H353" t="s">
        <v>39</v>
      </c>
      <c r="I353" t="s">
        <v>1445</v>
      </c>
    </row>
    <row r="354" spans="1:9" x14ac:dyDescent="0.25">
      <c r="A354" t="str">
        <f>"000363236"</f>
        <v>000363236</v>
      </c>
      <c r="B354" t="s">
        <v>1446</v>
      </c>
      <c r="D354" t="s">
        <v>1447</v>
      </c>
      <c r="G354" t="s">
        <v>1448</v>
      </c>
      <c r="I354" t="s">
        <v>1449</v>
      </c>
    </row>
    <row r="355" spans="1:9" x14ac:dyDescent="0.25">
      <c r="A355" t="str">
        <f>"000363239"</f>
        <v>000363239</v>
      </c>
      <c r="B355" t="s">
        <v>1450</v>
      </c>
      <c r="D355" t="s">
        <v>1451</v>
      </c>
      <c r="G355" t="s">
        <v>64</v>
      </c>
      <c r="H355" t="s">
        <v>39</v>
      </c>
      <c r="I355" t="s">
        <v>1452</v>
      </c>
    </row>
    <row r="356" spans="1:9" x14ac:dyDescent="0.25">
      <c r="A356" t="str">
        <f>"000372325"</f>
        <v>000372325</v>
      </c>
      <c r="B356" t="s">
        <v>1453</v>
      </c>
      <c r="D356" t="s">
        <v>1454</v>
      </c>
      <c r="E356" t="s">
        <v>1455</v>
      </c>
      <c r="F356" t="s">
        <v>1456</v>
      </c>
      <c r="G356" t="s">
        <v>1457</v>
      </c>
      <c r="H356" t="s">
        <v>13</v>
      </c>
      <c r="I356" t="s">
        <v>1458</v>
      </c>
    </row>
    <row r="357" spans="1:9" x14ac:dyDescent="0.25">
      <c r="A357" t="str">
        <f>"000378524"</f>
        <v>000378524</v>
      </c>
      <c r="B357" t="s">
        <v>1459</v>
      </c>
      <c r="D357" t="s">
        <v>1460</v>
      </c>
      <c r="E357" t="s">
        <v>1461</v>
      </c>
      <c r="G357" t="s">
        <v>242</v>
      </c>
      <c r="H357" t="s">
        <v>161</v>
      </c>
      <c r="I357" t="s">
        <v>1462</v>
      </c>
    </row>
    <row r="358" spans="1:9" x14ac:dyDescent="0.25">
      <c r="A358" t="str">
        <f>"000383690"</f>
        <v>000383690</v>
      </c>
      <c r="B358" t="s">
        <v>1463</v>
      </c>
      <c r="D358" t="s">
        <v>1464</v>
      </c>
      <c r="G358" t="s">
        <v>64</v>
      </c>
      <c r="H358" t="s">
        <v>39</v>
      </c>
      <c r="I358" t="s">
        <v>1465</v>
      </c>
    </row>
    <row r="359" spans="1:9" x14ac:dyDescent="0.25">
      <c r="A359" t="str">
        <f>"000394057"</f>
        <v>000394057</v>
      </c>
      <c r="B359" t="s">
        <v>1466</v>
      </c>
      <c r="D359" t="s">
        <v>1467</v>
      </c>
      <c r="E359" t="s">
        <v>1468</v>
      </c>
      <c r="G359" t="s">
        <v>1469</v>
      </c>
      <c r="H359" t="s">
        <v>39</v>
      </c>
      <c r="I359" t="s">
        <v>1470</v>
      </c>
    </row>
    <row r="360" spans="1:9" x14ac:dyDescent="0.25">
      <c r="A360" t="str">
        <f>"000414382"</f>
        <v>000414382</v>
      </c>
      <c r="B360" t="s">
        <v>1471</v>
      </c>
      <c r="D360" t="s">
        <v>1472</v>
      </c>
      <c r="G360" t="s">
        <v>1473</v>
      </c>
      <c r="H360" t="s">
        <v>51</v>
      </c>
      <c r="I360" t="s">
        <v>1474</v>
      </c>
    </row>
    <row r="361" spans="1:9" x14ac:dyDescent="0.25">
      <c r="A361" t="str">
        <f>"000392292"</f>
        <v>000392292</v>
      </c>
      <c r="B361" t="s">
        <v>1475</v>
      </c>
      <c r="D361" t="s">
        <v>1476</v>
      </c>
      <c r="G361" t="s">
        <v>1305</v>
      </c>
      <c r="H361" t="s">
        <v>131</v>
      </c>
      <c r="I361" t="s">
        <v>1477</v>
      </c>
    </row>
    <row r="362" spans="1:9" x14ac:dyDescent="0.25">
      <c r="A362" t="str">
        <f>"000418610"</f>
        <v>000418610</v>
      </c>
      <c r="B362" t="s">
        <v>1478</v>
      </c>
      <c r="D362" t="s">
        <v>1479</v>
      </c>
      <c r="G362" t="s">
        <v>1480</v>
      </c>
      <c r="I362" t="s">
        <v>1481</v>
      </c>
    </row>
    <row r="363" spans="1:9" x14ac:dyDescent="0.25">
      <c r="A363" t="str">
        <f>"000431961"</f>
        <v>000431961</v>
      </c>
      <c r="B363" t="s">
        <v>1482</v>
      </c>
      <c r="D363" t="s">
        <v>1483</v>
      </c>
      <c r="E363" t="s">
        <v>1484</v>
      </c>
      <c r="G363" t="s">
        <v>1485</v>
      </c>
      <c r="I363" t="s">
        <v>1486</v>
      </c>
    </row>
    <row r="364" spans="1:9" x14ac:dyDescent="0.25">
      <c r="A364" t="str">
        <f>"000449459"</f>
        <v>000449459</v>
      </c>
      <c r="B364" t="s">
        <v>1487</v>
      </c>
      <c r="D364" t="s">
        <v>1488</v>
      </c>
      <c r="G364" t="s">
        <v>1489</v>
      </c>
      <c r="H364" t="s">
        <v>188</v>
      </c>
      <c r="I364" t="s">
        <v>1490</v>
      </c>
    </row>
    <row r="365" spans="1:9" x14ac:dyDescent="0.25">
      <c r="A365" t="str">
        <f>"000462222"</f>
        <v>000462222</v>
      </c>
      <c r="B365" t="s">
        <v>1491</v>
      </c>
      <c r="D365" t="s">
        <v>1492</v>
      </c>
      <c r="G365" t="s">
        <v>1493</v>
      </c>
      <c r="H365" t="s">
        <v>39</v>
      </c>
      <c r="I365" t="s">
        <v>1494</v>
      </c>
    </row>
    <row r="366" spans="1:9" x14ac:dyDescent="0.25">
      <c r="A366" t="str">
        <f>"000452426"</f>
        <v>000452426</v>
      </c>
      <c r="B366" t="s">
        <v>1495</v>
      </c>
      <c r="D366" t="s">
        <v>1496</v>
      </c>
      <c r="G366" t="s">
        <v>64</v>
      </c>
      <c r="H366" t="s">
        <v>39</v>
      </c>
      <c r="I366" t="s">
        <v>1497</v>
      </c>
    </row>
    <row r="367" spans="1:9" x14ac:dyDescent="0.25">
      <c r="A367" t="str">
        <f>"000446120"</f>
        <v>000446120</v>
      </c>
      <c r="B367" t="s">
        <v>1498</v>
      </c>
      <c r="D367" t="s">
        <v>1499</v>
      </c>
      <c r="G367" t="s">
        <v>1500</v>
      </c>
      <c r="I367">
        <v>72410</v>
      </c>
    </row>
    <row r="368" spans="1:9" x14ac:dyDescent="0.25">
      <c r="A368" t="str">
        <f>"000473899"</f>
        <v>000473899</v>
      </c>
      <c r="B368" t="s">
        <v>1501</v>
      </c>
      <c r="D368" t="s">
        <v>1502</v>
      </c>
      <c r="E368" t="s">
        <v>1503</v>
      </c>
      <c r="F368" t="s">
        <v>1504</v>
      </c>
      <c r="G368" t="s">
        <v>1505</v>
      </c>
      <c r="H368" t="s">
        <v>34</v>
      </c>
      <c r="I368" t="s">
        <v>1506</v>
      </c>
    </row>
    <row r="369" spans="1:9" x14ac:dyDescent="0.25">
      <c r="A369" t="str">
        <f>"000462228"</f>
        <v>000462228</v>
      </c>
      <c r="B369" t="s">
        <v>1507</v>
      </c>
      <c r="D369" t="s">
        <v>1508</v>
      </c>
      <c r="G369" t="s">
        <v>774</v>
      </c>
      <c r="H369" t="s">
        <v>477</v>
      </c>
      <c r="I369" t="s">
        <v>1509</v>
      </c>
    </row>
    <row r="370" spans="1:9" x14ac:dyDescent="0.25">
      <c r="A370" t="str">
        <f>"000461770"</f>
        <v>000461770</v>
      </c>
      <c r="B370" t="s">
        <v>1510</v>
      </c>
      <c r="D370" t="s">
        <v>1511</v>
      </c>
      <c r="G370" t="s">
        <v>64</v>
      </c>
      <c r="H370" t="s">
        <v>39</v>
      </c>
      <c r="I370" t="s">
        <v>1512</v>
      </c>
    </row>
    <row r="371" spans="1:9" x14ac:dyDescent="0.25">
      <c r="A371" t="str">
        <f>"000708547"</f>
        <v>000708547</v>
      </c>
      <c r="B371" t="s">
        <v>1513</v>
      </c>
      <c r="D371" t="s">
        <v>1514</v>
      </c>
      <c r="G371" t="s">
        <v>1515</v>
      </c>
      <c r="H371" t="s">
        <v>161</v>
      </c>
      <c r="I371" t="s">
        <v>1516</v>
      </c>
    </row>
    <row r="372" spans="1:9" x14ac:dyDescent="0.25">
      <c r="A372" t="str">
        <f>"000690915"</f>
        <v>000690915</v>
      </c>
      <c r="B372" t="s">
        <v>1517</v>
      </c>
      <c r="D372" t="s">
        <v>1518</v>
      </c>
      <c r="G372" t="s">
        <v>262</v>
      </c>
      <c r="H372" t="s">
        <v>263</v>
      </c>
      <c r="I372" t="s">
        <v>1519</v>
      </c>
    </row>
    <row r="373" spans="1:9" x14ac:dyDescent="0.25">
      <c r="A373" t="str">
        <f>"000690593"</f>
        <v>000690593</v>
      </c>
      <c r="B373" t="s">
        <v>1520</v>
      </c>
      <c r="D373" t="s">
        <v>1521</v>
      </c>
      <c r="G373" t="s">
        <v>64</v>
      </c>
      <c r="H373" t="s">
        <v>39</v>
      </c>
      <c r="I373" t="s">
        <v>1522</v>
      </c>
    </row>
    <row r="374" spans="1:9" x14ac:dyDescent="0.25">
      <c r="A374" t="str">
        <f>"000691151"</f>
        <v>000691151</v>
      </c>
      <c r="B374" t="s">
        <v>1523</v>
      </c>
      <c r="D374" t="s">
        <v>1524</v>
      </c>
      <c r="G374" t="s">
        <v>1525</v>
      </c>
      <c r="H374" t="s">
        <v>120</v>
      </c>
      <c r="I374">
        <v>30597</v>
      </c>
    </row>
    <row r="375" spans="1:9" x14ac:dyDescent="0.25">
      <c r="A375" t="str">
        <f>"000698861"</f>
        <v>000698861</v>
      </c>
      <c r="B375" t="s">
        <v>1526</v>
      </c>
      <c r="D375" t="s">
        <v>1527</v>
      </c>
      <c r="G375" t="s">
        <v>64</v>
      </c>
      <c r="H375" t="s">
        <v>39</v>
      </c>
      <c r="I375" t="s">
        <v>1528</v>
      </c>
    </row>
    <row r="376" spans="1:9" x14ac:dyDescent="0.25">
      <c r="A376" t="str">
        <f>"000737542"</f>
        <v>000737542</v>
      </c>
      <c r="B376" t="s">
        <v>1529</v>
      </c>
      <c r="D376" t="s">
        <v>1530</v>
      </c>
      <c r="G376" t="s">
        <v>1531</v>
      </c>
      <c r="H376" t="s">
        <v>28</v>
      </c>
      <c r="I376" t="s">
        <v>1532</v>
      </c>
    </row>
    <row r="377" spans="1:9" x14ac:dyDescent="0.25">
      <c r="A377" t="str">
        <f>"000745538"</f>
        <v>000745538</v>
      </c>
      <c r="B377" t="s">
        <v>1533</v>
      </c>
      <c r="D377" t="s">
        <v>1534</v>
      </c>
      <c r="E377" t="s">
        <v>1535</v>
      </c>
      <c r="G377" t="s">
        <v>1536</v>
      </c>
      <c r="H377" t="s">
        <v>13</v>
      </c>
      <c r="I377" t="s">
        <v>1537</v>
      </c>
    </row>
    <row r="378" spans="1:9" x14ac:dyDescent="0.25">
      <c r="A378" t="str">
        <f>"000723053"</f>
        <v>000723053</v>
      </c>
      <c r="B378" t="s">
        <v>1538</v>
      </c>
      <c r="D378" t="s">
        <v>1539</v>
      </c>
      <c r="G378" t="s">
        <v>890</v>
      </c>
      <c r="H378" t="s">
        <v>39</v>
      </c>
      <c r="I378" t="s">
        <v>1540</v>
      </c>
    </row>
    <row r="379" spans="1:9" x14ac:dyDescent="0.25">
      <c r="A379" t="str">
        <f>"000744917"</f>
        <v>000744917</v>
      </c>
      <c r="B379" t="s">
        <v>1541</v>
      </c>
      <c r="D379" t="s">
        <v>1542</v>
      </c>
      <c r="G379" t="s">
        <v>214</v>
      </c>
      <c r="H379" t="s">
        <v>120</v>
      </c>
      <c r="I379" t="s">
        <v>1543</v>
      </c>
    </row>
    <row r="380" spans="1:9" x14ac:dyDescent="0.25">
      <c r="A380" t="str">
        <f>"000744508"</f>
        <v>000744508</v>
      </c>
      <c r="B380" t="s">
        <v>1544</v>
      </c>
      <c r="D380" t="s">
        <v>1545</v>
      </c>
      <c r="G380" t="s">
        <v>64</v>
      </c>
      <c r="H380" t="s">
        <v>39</v>
      </c>
      <c r="I380" t="s">
        <v>1546</v>
      </c>
    </row>
    <row r="381" spans="1:9" x14ac:dyDescent="0.25">
      <c r="A381" t="str">
        <f>"000754218"</f>
        <v>000754218</v>
      </c>
      <c r="B381" t="s">
        <v>1547</v>
      </c>
      <c r="D381" t="s">
        <v>1548</v>
      </c>
      <c r="E381" t="s">
        <v>1549</v>
      </c>
      <c r="G381" t="s">
        <v>291</v>
      </c>
      <c r="H381" t="s">
        <v>182</v>
      </c>
      <c r="I381">
        <v>10019</v>
      </c>
    </row>
    <row r="382" spans="1:9" x14ac:dyDescent="0.25">
      <c r="A382" t="str">
        <f>"000782532"</f>
        <v>000782532</v>
      </c>
      <c r="B382" t="s">
        <v>1550</v>
      </c>
      <c r="D382" t="s">
        <v>1551</v>
      </c>
      <c r="G382" t="s">
        <v>64</v>
      </c>
      <c r="H382" t="s">
        <v>39</v>
      </c>
      <c r="I382" t="s">
        <v>1552</v>
      </c>
    </row>
    <row r="383" spans="1:9" x14ac:dyDescent="0.25">
      <c r="A383" t="str">
        <f>"000794586"</f>
        <v>000794586</v>
      </c>
      <c r="B383" t="s">
        <v>1553</v>
      </c>
      <c r="D383" t="s">
        <v>1554</v>
      </c>
      <c r="E383" t="s">
        <v>1555</v>
      </c>
      <c r="G383" t="s">
        <v>1556</v>
      </c>
      <c r="H383" t="s">
        <v>34</v>
      </c>
      <c r="I383" t="s">
        <v>1557</v>
      </c>
    </row>
    <row r="384" spans="1:9" x14ac:dyDescent="0.25">
      <c r="A384" t="str">
        <f>"000783331"</f>
        <v>000783331</v>
      </c>
      <c r="B384" t="s">
        <v>1558</v>
      </c>
      <c r="D384" t="s">
        <v>1559</v>
      </c>
      <c r="G384" t="s">
        <v>253</v>
      </c>
      <c r="H384" t="s">
        <v>28</v>
      </c>
      <c r="I384" t="s">
        <v>1560</v>
      </c>
    </row>
    <row r="385" spans="1:9" x14ac:dyDescent="0.25">
      <c r="A385" t="str">
        <f>"000788751"</f>
        <v>000788751</v>
      </c>
      <c r="B385" t="s">
        <v>1561</v>
      </c>
      <c r="D385" t="s">
        <v>1562</v>
      </c>
      <c r="G385" t="s">
        <v>267</v>
      </c>
      <c r="H385" t="s">
        <v>39</v>
      </c>
      <c r="I385" t="s">
        <v>1563</v>
      </c>
    </row>
    <row r="386" spans="1:9" x14ac:dyDescent="0.25">
      <c r="A386" t="str">
        <f>"000861970"</f>
        <v>000861970</v>
      </c>
      <c r="B386" t="s">
        <v>1564</v>
      </c>
      <c r="D386" t="s">
        <v>1565</v>
      </c>
      <c r="E386" t="s">
        <v>1566</v>
      </c>
      <c r="G386" t="s">
        <v>1567</v>
      </c>
      <c r="H386" t="s">
        <v>1568</v>
      </c>
      <c r="I386" t="s">
        <v>1569</v>
      </c>
    </row>
    <row r="387" spans="1:9" x14ac:dyDescent="0.25">
      <c r="A387" t="str">
        <f>"000912231"</f>
        <v>000912231</v>
      </c>
      <c r="B387" t="s">
        <v>1570</v>
      </c>
      <c r="D387" t="s">
        <v>1571</v>
      </c>
      <c r="G387" t="s">
        <v>1572</v>
      </c>
      <c r="H387" t="s">
        <v>513</v>
      </c>
      <c r="I387" t="s">
        <v>1573</v>
      </c>
    </row>
    <row r="388" spans="1:9" x14ac:dyDescent="0.25">
      <c r="A388" t="str">
        <f>"000912259"</f>
        <v>000912259</v>
      </c>
      <c r="B388" t="s">
        <v>1574</v>
      </c>
      <c r="D388" t="s">
        <v>1575</v>
      </c>
      <c r="E388" t="s">
        <v>1576</v>
      </c>
      <c r="G388" t="s">
        <v>295</v>
      </c>
      <c r="H388" t="s">
        <v>296</v>
      </c>
      <c r="I388" t="s">
        <v>1577</v>
      </c>
    </row>
    <row r="389" spans="1:9" x14ac:dyDescent="0.25">
      <c r="A389" t="str">
        <f>"000914706"</f>
        <v>000914706</v>
      </c>
      <c r="B389" t="s">
        <v>1578</v>
      </c>
      <c r="D389" t="s">
        <v>1579</v>
      </c>
      <c r="G389" t="s">
        <v>1580</v>
      </c>
      <c r="H389" t="s">
        <v>39</v>
      </c>
      <c r="I389" t="s">
        <v>1581</v>
      </c>
    </row>
    <row r="390" spans="1:9" x14ac:dyDescent="0.25">
      <c r="A390" t="str">
        <f>"001026949"</f>
        <v>001026949</v>
      </c>
      <c r="B390" t="s">
        <v>1582</v>
      </c>
      <c r="D390" t="s">
        <v>1583</v>
      </c>
      <c r="G390" t="s">
        <v>64</v>
      </c>
      <c r="H390" t="s">
        <v>39</v>
      </c>
      <c r="I390" t="s">
        <v>1584</v>
      </c>
    </row>
    <row r="391" spans="1:9" x14ac:dyDescent="0.25">
      <c r="A391" t="str">
        <f>"000985206"</f>
        <v>000985206</v>
      </c>
      <c r="B391" t="s">
        <v>1585</v>
      </c>
      <c r="D391" t="s">
        <v>1586</v>
      </c>
      <c r="G391" t="s">
        <v>1587</v>
      </c>
      <c r="H391" t="s">
        <v>296</v>
      </c>
      <c r="I391" t="s">
        <v>1588</v>
      </c>
    </row>
    <row r="392" spans="1:9" x14ac:dyDescent="0.25">
      <c r="A392" t="str">
        <f>"000990297"</f>
        <v>000990297</v>
      </c>
      <c r="B392" t="s">
        <v>1589</v>
      </c>
      <c r="D392" t="s">
        <v>1590</v>
      </c>
      <c r="G392" t="s">
        <v>1591</v>
      </c>
      <c r="H392" t="s">
        <v>23</v>
      </c>
      <c r="I392" t="s">
        <v>1592</v>
      </c>
    </row>
    <row r="393" spans="1:9" x14ac:dyDescent="0.25">
      <c r="A393" t="str">
        <f>"001027865"</f>
        <v>001027865</v>
      </c>
      <c r="B393" t="s">
        <v>1593</v>
      </c>
      <c r="D393" t="s">
        <v>1594</v>
      </c>
      <c r="E393" t="s">
        <v>1595</v>
      </c>
      <c r="G393" t="s">
        <v>220</v>
      </c>
      <c r="H393" t="s">
        <v>221</v>
      </c>
      <c r="I393" t="s">
        <v>1596</v>
      </c>
    </row>
    <row r="394" spans="1:9" x14ac:dyDescent="0.25">
      <c r="A394" t="str">
        <f>"001027894"</f>
        <v>001027894</v>
      </c>
      <c r="B394" t="s">
        <v>1597</v>
      </c>
      <c r="D394" t="s">
        <v>1598</v>
      </c>
      <c r="G394" t="s">
        <v>1599</v>
      </c>
      <c r="H394" t="s">
        <v>540</v>
      </c>
      <c r="I394" t="s">
        <v>1600</v>
      </c>
    </row>
    <row r="395" spans="1:9" x14ac:dyDescent="0.25">
      <c r="A395" t="str">
        <f>"001006514"</f>
        <v>001006514</v>
      </c>
      <c r="B395" t="s">
        <v>1601</v>
      </c>
      <c r="D395" t="s">
        <v>1602</v>
      </c>
      <c r="G395" t="s">
        <v>1603</v>
      </c>
      <c r="H395" t="s">
        <v>34</v>
      </c>
      <c r="I395" t="s">
        <v>1604</v>
      </c>
    </row>
    <row r="396" spans="1:9" x14ac:dyDescent="0.25">
      <c r="A396" t="str">
        <f>"001006515"</f>
        <v>001006515</v>
      </c>
      <c r="B396" t="s">
        <v>1605</v>
      </c>
      <c r="D396" t="s">
        <v>1606</v>
      </c>
      <c r="G396" t="s">
        <v>1607</v>
      </c>
      <c r="H396" t="s">
        <v>28</v>
      </c>
      <c r="I396" t="s">
        <v>1608</v>
      </c>
    </row>
    <row r="397" spans="1:9" x14ac:dyDescent="0.25">
      <c r="A397" t="str">
        <f>"001080072"</f>
        <v>001080072</v>
      </c>
      <c r="B397" t="s">
        <v>1609</v>
      </c>
      <c r="D397" t="s">
        <v>1610</v>
      </c>
      <c r="E397" t="s">
        <v>1611</v>
      </c>
      <c r="G397" t="s">
        <v>391</v>
      </c>
      <c r="H397" t="s">
        <v>296</v>
      </c>
      <c r="I397" t="s">
        <v>1612</v>
      </c>
    </row>
    <row r="398" spans="1:9" x14ac:dyDescent="0.25">
      <c r="A398" t="str">
        <f>"001015473"</f>
        <v>001015473</v>
      </c>
      <c r="B398" t="s">
        <v>1613</v>
      </c>
      <c r="D398" t="s">
        <v>1614</v>
      </c>
      <c r="E398" t="s">
        <v>1615</v>
      </c>
      <c r="G398" t="s">
        <v>275</v>
      </c>
      <c r="H398" t="s">
        <v>23</v>
      </c>
      <c r="I398" t="s">
        <v>1616</v>
      </c>
    </row>
    <row r="399" spans="1:9" x14ac:dyDescent="0.25">
      <c r="A399" t="str">
        <f>"000995853"</f>
        <v>000995853</v>
      </c>
      <c r="B399" t="s">
        <v>1617</v>
      </c>
      <c r="D399" t="s">
        <v>1618</v>
      </c>
      <c r="G399" t="s">
        <v>1619</v>
      </c>
      <c r="H399" t="s">
        <v>166</v>
      </c>
      <c r="I399" t="s">
        <v>1620</v>
      </c>
    </row>
    <row r="400" spans="1:9" x14ac:dyDescent="0.25">
      <c r="A400" t="str">
        <f>"001035549"</f>
        <v>001035549</v>
      </c>
      <c r="B400" t="s">
        <v>1621</v>
      </c>
      <c r="D400" t="s">
        <v>1622</v>
      </c>
      <c r="E400" t="s">
        <v>1623</v>
      </c>
      <c r="G400" t="s">
        <v>1624</v>
      </c>
      <c r="H400" t="s">
        <v>39</v>
      </c>
      <c r="I400">
        <v>63902</v>
      </c>
    </row>
    <row r="401" spans="1:9" x14ac:dyDescent="0.25">
      <c r="A401" t="str">
        <f>"001024844"</f>
        <v>001024844</v>
      </c>
      <c r="B401" t="s">
        <v>1625</v>
      </c>
      <c r="D401" t="s">
        <v>1626</v>
      </c>
      <c r="G401" t="s">
        <v>12</v>
      </c>
      <c r="H401" t="s">
        <v>13</v>
      </c>
      <c r="I401" t="s">
        <v>1627</v>
      </c>
    </row>
    <row r="402" spans="1:9" x14ac:dyDescent="0.25">
      <c r="A402" t="str">
        <f>"001022104"</f>
        <v>001022104</v>
      </c>
      <c r="B402" t="s">
        <v>1628</v>
      </c>
      <c r="D402" t="s">
        <v>1629</v>
      </c>
      <c r="G402" t="s">
        <v>64</v>
      </c>
      <c r="H402" t="s">
        <v>39</v>
      </c>
      <c r="I402" t="s">
        <v>1630</v>
      </c>
    </row>
    <row r="403" spans="1:9" x14ac:dyDescent="0.25">
      <c r="A403" t="str">
        <f>"001021948"</f>
        <v>001021948</v>
      </c>
      <c r="B403" t="s">
        <v>1631</v>
      </c>
      <c r="D403" t="s">
        <v>1632</v>
      </c>
      <c r="G403" t="s">
        <v>1305</v>
      </c>
      <c r="H403" t="s">
        <v>131</v>
      </c>
      <c r="I403" t="s">
        <v>1633</v>
      </c>
    </row>
    <row r="404" spans="1:9" x14ac:dyDescent="0.25">
      <c r="A404" t="str">
        <f>"000967160"</f>
        <v>000967160</v>
      </c>
      <c r="B404" t="s">
        <v>1634</v>
      </c>
      <c r="D404" t="s">
        <v>1635</v>
      </c>
      <c r="E404" t="s">
        <v>1636</v>
      </c>
      <c r="F404" t="s">
        <v>1637</v>
      </c>
      <c r="G404" t="s">
        <v>1638</v>
      </c>
      <c r="H404" t="s">
        <v>28</v>
      </c>
      <c r="I404" t="s">
        <v>1639</v>
      </c>
    </row>
    <row r="405" spans="1:9" x14ac:dyDescent="0.25">
      <c r="A405" t="str">
        <f>"001017395"</f>
        <v>001017395</v>
      </c>
      <c r="B405" t="s">
        <v>1640</v>
      </c>
      <c r="D405" t="s">
        <v>1641</v>
      </c>
      <c r="E405" t="s">
        <v>1642</v>
      </c>
      <c r="G405" t="s">
        <v>69</v>
      </c>
      <c r="H405" t="s">
        <v>70</v>
      </c>
      <c r="I405" t="s">
        <v>1643</v>
      </c>
    </row>
    <row r="406" spans="1:9" x14ac:dyDescent="0.25">
      <c r="A406" t="str">
        <f>"001037732"</f>
        <v>001037732</v>
      </c>
      <c r="B406" t="s">
        <v>1644</v>
      </c>
      <c r="D406" t="s">
        <v>1645</v>
      </c>
      <c r="E406" t="s">
        <v>1646</v>
      </c>
      <c r="G406" t="s">
        <v>1647</v>
      </c>
      <c r="H406" t="s">
        <v>84</v>
      </c>
      <c r="I406" t="s">
        <v>1648</v>
      </c>
    </row>
    <row r="407" spans="1:9" x14ac:dyDescent="0.25">
      <c r="A407" t="str">
        <f>"001037747"</f>
        <v>001037747</v>
      </c>
      <c r="B407" t="s">
        <v>1649</v>
      </c>
      <c r="D407" t="s">
        <v>1650</v>
      </c>
      <c r="E407" t="s">
        <v>1651</v>
      </c>
      <c r="G407" t="s">
        <v>1652</v>
      </c>
      <c r="H407" t="s">
        <v>39</v>
      </c>
      <c r="I407" t="s">
        <v>1653</v>
      </c>
    </row>
    <row r="408" spans="1:9" x14ac:dyDescent="0.25">
      <c r="A408" t="str">
        <f>"000998256"</f>
        <v>000998256</v>
      </c>
      <c r="B408" t="s">
        <v>1654</v>
      </c>
      <c r="D408" t="s">
        <v>1655</v>
      </c>
      <c r="G408" t="s">
        <v>1026</v>
      </c>
      <c r="H408" t="s">
        <v>263</v>
      </c>
      <c r="I408" t="s">
        <v>1656</v>
      </c>
    </row>
    <row r="409" spans="1:9" x14ac:dyDescent="0.25">
      <c r="A409" t="str">
        <f>"000999707"</f>
        <v>000999707</v>
      </c>
      <c r="B409" t="s">
        <v>1657</v>
      </c>
      <c r="D409" t="s">
        <v>1658</v>
      </c>
      <c r="G409" t="s">
        <v>90</v>
      </c>
      <c r="H409" t="s">
        <v>39</v>
      </c>
      <c r="I409" t="s">
        <v>1659</v>
      </c>
    </row>
    <row r="410" spans="1:9" x14ac:dyDescent="0.25">
      <c r="A410" t="str">
        <f>"001005947"</f>
        <v>001005947</v>
      </c>
      <c r="B410" t="s">
        <v>1660</v>
      </c>
      <c r="D410" t="s">
        <v>1661</v>
      </c>
      <c r="G410" t="s">
        <v>64</v>
      </c>
      <c r="H410" t="s">
        <v>39</v>
      </c>
      <c r="I410" t="s">
        <v>1662</v>
      </c>
    </row>
    <row r="411" spans="1:9" x14ac:dyDescent="0.25">
      <c r="A411" t="str">
        <f>"001065749"</f>
        <v>001065749</v>
      </c>
      <c r="B411" t="s">
        <v>1663</v>
      </c>
      <c r="D411" t="s">
        <v>1664</v>
      </c>
      <c r="G411" t="s">
        <v>1665</v>
      </c>
      <c r="H411" t="s">
        <v>477</v>
      </c>
      <c r="I411" t="s">
        <v>1666</v>
      </c>
    </row>
    <row r="412" spans="1:9" x14ac:dyDescent="0.25">
      <c r="A412" t="str">
        <f>"000991254"</f>
        <v>000991254</v>
      </c>
      <c r="B412" t="s">
        <v>1667</v>
      </c>
      <c r="D412" t="s">
        <v>1668</v>
      </c>
      <c r="G412" t="s">
        <v>1305</v>
      </c>
      <c r="H412" t="s">
        <v>131</v>
      </c>
      <c r="I412" t="s">
        <v>1669</v>
      </c>
    </row>
    <row r="413" spans="1:9" x14ac:dyDescent="0.25">
      <c r="A413" t="str">
        <f>"001061029"</f>
        <v>001061029</v>
      </c>
      <c r="B413" t="s">
        <v>1670</v>
      </c>
      <c r="D413" t="s">
        <v>1671</v>
      </c>
      <c r="G413" t="s">
        <v>64</v>
      </c>
      <c r="H413" t="s">
        <v>39</v>
      </c>
      <c r="I413" t="s">
        <v>1672</v>
      </c>
    </row>
    <row r="414" spans="1:9" x14ac:dyDescent="0.25">
      <c r="A414" t="str">
        <f>"001052598"</f>
        <v>001052598</v>
      </c>
      <c r="B414" t="s">
        <v>1673</v>
      </c>
      <c r="D414" t="s">
        <v>1674</v>
      </c>
      <c r="E414" t="s">
        <v>1675</v>
      </c>
      <c r="G414" t="s">
        <v>64</v>
      </c>
      <c r="H414" t="s">
        <v>39</v>
      </c>
      <c r="I414" t="s">
        <v>1676</v>
      </c>
    </row>
    <row r="415" spans="1:9" x14ac:dyDescent="0.25">
      <c r="A415" t="str">
        <f>"001053970"</f>
        <v>001053970</v>
      </c>
      <c r="B415" t="s">
        <v>1677</v>
      </c>
      <c r="D415" t="s">
        <v>1678</v>
      </c>
      <c r="G415" t="s">
        <v>64</v>
      </c>
      <c r="H415" t="s">
        <v>39</v>
      </c>
      <c r="I415" t="s">
        <v>1679</v>
      </c>
    </row>
    <row r="416" spans="1:9" x14ac:dyDescent="0.25">
      <c r="A416" t="str">
        <f>"001051052"</f>
        <v>001051052</v>
      </c>
      <c r="B416" t="s">
        <v>1680</v>
      </c>
      <c r="D416" t="s">
        <v>1681</v>
      </c>
      <c r="G416" t="s">
        <v>1682</v>
      </c>
      <c r="H416" t="s">
        <v>957</v>
      </c>
      <c r="I416" t="s">
        <v>1683</v>
      </c>
    </row>
    <row r="417" spans="1:9" x14ac:dyDescent="0.25">
      <c r="A417" t="str">
        <f>"001017458"</f>
        <v>001017458</v>
      </c>
      <c r="B417" t="s">
        <v>1684</v>
      </c>
      <c r="D417" t="s">
        <v>1685</v>
      </c>
      <c r="G417" t="s">
        <v>64</v>
      </c>
      <c r="H417" t="s">
        <v>39</v>
      </c>
      <c r="I417" t="s">
        <v>1686</v>
      </c>
    </row>
    <row r="418" spans="1:9" x14ac:dyDescent="0.25">
      <c r="A418" t="str">
        <f>"001018564"</f>
        <v>001018564</v>
      </c>
      <c r="B418" t="s">
        <v>1687</v>
      </c>
      <c r="D418" t="s">
        <v>1688</v>
      </c>
      <c r="G418" t="s">
        <v>64</v>
      </c>
      <c r="H418" t="s">
        <v>39</v>
      </c>
      <c r="I418" t="s">
        <v>1689</v>
      </c>
    </row>
    <row r="419" spans="1:9" x14ac:dyDescent="0.25">
      <c r="A419" t="str">
        <f>"000967199"</f>
        <v>000967199</v>
      </c>
      <c r="B419" t="s">
        <v>1690</v>
      </c>
      <c r="D419" t="s">
        <v>1691</v>
      </c>
      <c r="G419" t="s">
        <v>60</v>
      </c>
      <c r="H419" t="s">
        <v>28</v>
      </c>
      <c r="I419" t="s">
        <v>1692</v>
      </c>
    </row>
    <row r="420" spans="1:9" x14ac:dyDescent="0.25">
      <c r="A420" t="str">
        <f>"000999368"</f>
        <v>000999368</v>
      </c>
      <c r="B420" t="s">
        <v>1693</v>
      </c>
      <c r="D420" t="s">
        <v>1694</v>
      </c>
      <c r="G420" t="s">
        <v>1695</v>
      </c>
      <c r="H420" t="s">
        <v>28</v>
      </c>
      <c r="I420" t="s">
        <v>1696</v>
      </c>
    </row>
    <row r="421" spans="1:9" x14ac:dyDescent="0.25">
      <c r="A421" t="str">
        <f>"000992910"</f>
        <v>000992910</v>
      </c>
      <c r="B421" t="s">
        <v>1697</v>
      </c>
      <c r="D421" t="s">
        <v>1698</v>
      </c>
      <c r="G421" t="s">
        <v>64</v>
      </c>
      <c r="H421" t="s">
        <v>39</v>
      </c>
      <c r="I421" t="s">
        <v>1699</v>
      </c>
    </row>
    <row r="422" spans="1:9" x14ac:dyDescent="0.25">
      <c r="A422" t="str">
        <f>"001047478"</f>
        <v>001047478</v>
      </c>
      <c r="B422" t="s">
        <v>1700</v>
      </c>
      <c r="D422" t="s">
        <v>1701</v>
      </c>
      <c r="G422" t="s">
        <v>64</v>
      </c>
      <c r="H422" t="s">
        <v>39</v>
      </c>
      <c r="I422" t="s">
        <v>1702</v>
      </c>
    </row>
    <row r="423" spans="1:9" x14ac:dyDescent="0.25">
      <c r="A423" t="str">
        <f>"001047481"</f>
        <v>001047481</v>
      </c>
      <c r="B423" t="s">
        <v>1703</v>
      </c>
      <c r="D423" t="s">
        <v>1704</v>
      </c>
      <c r="G423" t="s">
        <v>60</v>
      </c>
      <c r="H423" t="s">
        <v>28</v>
      </c>
      <c r="I423" t="s">
        <v>1705</v>
      </c>
    </row>
    <row r="424" spans="1:9" x14ac:dyDescent="0.25">
      <c r="A424" t="str">
        <f>"000992317"</f>
        <v>000992317</v>
      </c>
      <c r="B424" t="s">
        <v>1706</v>
      </c>
      <c r="D424" t="s">
        <v>1707</v>
      </c>
      <c r="G424" t="s">
        <v>17</v>
      </c>
      <c r="H424" t="s">
        <v>13</v>
      </c>
      <c r="I424" t="s">
        <v>1708</v>
      </c>
    </row>
    <row r="425" spans="1:9" x14ac:dyDescent="0.25">
      <c r="A425" t="str">
        <f>"001030427"</f>
        <v>001030427</v>
      </c>
      <c r="B425" t="s">
        <v>1709</v>
      </c>
      <c r="D425" t="s">
        <v>1710</v>
      </c>
      <c r="G425" t="s">
        <v>507</v>
      </c>
      <c r="H425" t="s">
        <v>39</v>
      </c>
      <c r="I425" t="s">
        <v>1711</v>
      </c>
    </row>
    <row r="426" spans="1:9" x14ac:dyDescent="0.25">
      <c r="A426" t="str">
        <f>"001045980"</f>
        <v>001045980</v>
      </c>
      <c r="B426" t="s">
        <v>1712</v>
      </c>
      <c r="D426" t="s">
        <v>1713</v>
      </c>
      <c r="G426" t="s">
        <v>1714</v>
      </c>
      <c r="H426" t="s">
        <v>383</v>
      </c>
      <c r="I426" t="s">
        <v>1715</v>
      </c>
    </row>
    <row r="427" spans="1:9" x14ac:dyDescent="0.25">
      <c r="A427" t="str">
        <f>"000977697"</f>
        <v>000977697</v>
      </c>
      <c r="B427" t="s">
        <v>1716</v>
      </c>
      <c r="D427" t="s">
        <v>1717</v>
      </c>
      <c r="G427" t="s">
        <v>64</v>
      </c>
      <c r="H427" t="s">
        <v>39</v>
      </c>
      <c r="I427" t="s">
        <v>1718</v>
      </c>
    </row>
    <row r="428" spans="1:9" x14ac:dyDescent="0.25">
      <c r="A428" t="str">
        <f>"001048486"</f>
        <v>001048486</v>
      </c>
      <c r="B428" t="s">
        <v>1719</v>
      </c>
      <c r="D428" t="s">
        <v>1720</v>
      </c>
      <c r="G428" t="s">
        <v>1721</v>
      </c>
      <c r="H428" t="s">
        <v>13</v>
      </c>
      <c r="I428" t="s">
        <v>1722</v>
      </c>
    </row>
    <row r="429" spans="1:9" x14ac:dyDescent="0.25">
      <c r="A429" t="str">
        <f>"000957669"</f>
        <v>000957669</v>
      </c>
      <c r="B429" t="s">
        <v>1723</v>
      </c>
      <c r="D429" t="s">
        <v>1724</v>
      </c>
      <c r="G429" t="s">
        <v>64</v>
      </c>
      <c r="H429" t="s">
        <v>39</v>
      </c>
      <c r="I429" t="s">
        <v>1725</v>
      </c>
    </row>
    <row r="430" spans="1:9" x14ac:dyDescent="0.25">
      <c r="A430" t="str">
        <f>"000999677"</f>
        <v>000999677</v>
      </c>
      <c r="B430" t="s">
        <v>1726</v>
      </c>
      <c r="D430" t="s">
        <v>1727</v>
      </c>
      <c r="E430" t="s">
        <v>1728</v>
      </c>
      <c r="G430" t="s">
        <v>878</v>
      </c>
      <c r="H430" t="s">
        <v>879</v>
      </c>
      <c r="I430" t="s">
        <v>1729</v>
      </c>
    </row>
    <row r="431" spans="1:9" x14ac:dyDescent="0.25">
      <c r="A431" t="str">
        <f>"001040008"</f>
        <v>001040008</v>
      </c>
      <c r="B431" t="s">
        <v>1730</v>
      </c>
      <c r="D431" t="s">
        <v>1731</v>
      </c>
      <c r="G431" t="s">
        <v>64</v>
      </c>
      <c r="H431" t="s">
        <v>39</v>
      </c>
      <c r="I431" t="s">
        <v>1732</v>
      </c>
    </row>
    <row r="432" spans="1:9" x14ac:dyDescent="0.25">
      <c r="A432" t="str">
        <f>"001050359"</f>
        <v>001050359</v>
      </c>
      <c r="B432" t="s">
        <v>1733</v>
      </c>
      <c r="D432" t="s">
        <v>1734</v>
      </c>
      <c r="G432" t="s">
        <v>242</v>
      </c>
      <c r="H432" t="s">
        <v>161</v>
      </c>
      <c r="I432" t="s">
        <v>1735</v>
      </c>
    </row>
    <row r="433" spans="1:9" x14ac:dyDescent="0.25">
      <c r="A433" t="str">
        <f>"001046667"</f>
        <v>001046667</v>
      </c>
      <c r="B433" t="s">
        <v>1736</v>
      </c>
      <c r="D433" t="s">
        <v>1737</v>
      </c>
      <c r="G433" t="s">
        <v>1738</v>
      </c>
      <c r="H433" t="s">
        <v>13</v>
      </c>
      <c r="I433" t="s">
        <v>1739</v>
      </c>
    </row>
    <row r="434" spans="1:9" x14ac:dyDescent="0.25">
      <c r="A434" t="str">
        <f>"000975535"</f>
        <v>000975535</v>
      </c>
      <c r="B434" t="s">
        <v>1740</v>
      </c>
      <c r="D434" t="s">
        <v>1741</v>
      </c>
      <c r="G434" t="s">
        <v>253</v>
      </c>
      <c r="H434" t="s">
        <v>28</v>
      </c>
      <c r="I434" t="s">
        <v>1742</v>
      </c>
    </row>
    <row r="435" spans="1:9" x14ac:dyDescent="0.25">
      <c r="A435" t="str">
        <f>"000992545"</f>
        <v>000992545</v>
      </c>
      <c r="B435" t="s">
        <v>1743</v>
      </c>
      <c r="D435" t="s">
        <v>1744</v>
      </c>
      <c r="G435" t="s">
        <v>1745</v>
      </c>
      <c r="H435" t="s">
        <v>120</v>
      </c>
      <c r="I435" t="s">
        <v>1746</v>
      </c>
    </row>
    <row r="436" spans="1:9" x14ac:dyDescent="0.25">
      <c r="A436" t="str">
        <f>"001075752"</f>
        <v>001075752</v>
      </c>
      <c r="B436" t="s">
        <v>1747</v>
      </c>
      <c r="D436" t="s">
        <v>1748</v>
      </c>
      <c r="G436" t="s">
        <v>1749</v>
      </c>
      <c r="H436" t="s">
        <v>182</v>
      </c>
      <c r="I436" t="s">
        <v>1750</v>
      </c>
    </row>
    <row r="437" spans="1:9" x14ac:dyDescent="0.25">
      <c r="A437" t="str">
        <f>"000986449"</f>
        <v>000986449</v>
      </c>
      <c r="B437" t="s">
        <v>1751</v>
      </c>
      <c r="D437" t="s">
        <v>1752</v>
      </c>
      <c r="G437" t="s">
        <v>64</v>
      </c>
      <c r="H437" t="s">
        <v>39</v>
      </c>
      <c r="I437" t="s">
        <v>1753</v>
      </c>
    </row>
    <row r="438" spans="1:9" x14ac:dyDescent="0.25">
      <c r="A438" t="str">
        <f>"001029251"</f>
        <v>001029251</v>
      </c>
      <c r="B438" t="s">
        <v>1754</v>
      </c>
      <c r="D438" t="s">
        <v>1755</v>
      </c>
      <c r="G438" t="s">
        <v>130</v>
      </c>
      <c r="H438" t="s">
        <v>131</v>
      </c>
      <c r="I438" t="s">
        <v>1756</v>
      </c>
    </row>
    <row r="439" spans="1:9" x14ac:dyDescent="0.25">
      <c r="A439" t="str">
        <f>"000998822"</f>
        <v>000998822</v>
      </c>
      <c r="B439" t="s">
        <v>1757</v>
      </c>
      <c r="D439" t="s">
        <v>1758</v>
      </c>
      <c r="F439" t="s">
        <v>1759</v>
      </c>
      <c r="G439" t="s">
        <v>1760</v>
      </c>
      <c r="I439" t="s">
        <v>1761</v>
      </c>
    </row>
    <row r="440" spans="1:9" x14ac:dyDescent="0.25">
      <c r="A440" t="str">
        <f>"001001086"</f>
        <v>001001086</v>
      </c>
      <c r="B440" t="s">
        <v>1762</v>
      </c>
      <c r="D440" t="s">
        <v>1763</v>
      </c>
      <c r="G440" t="s">
        <v>1764</v>
      </c>
      <c r="H440" t="s">
        <v>39</v>
      </c>
      <c r="I440" t="s">
        <v>1765</v>
      </c>
    </row>
    <row r="441" spans="1:9" x14ac:dyDescent="0.25">
      <c r="A441" t="str">
        <f>"001050571"</f>
        <v>001050571</v>
      </c>
      <c r="B441" t="s">
        <v>1766</v>
      </c>
      <c r="D441" t="s">
        <v>1767</v>
      </c>
      <c r="G441" t="s">
        <v>1768</v>
      </c>
      <c r="H441" t="s">
        <v>827</v>
      </c>
      <c r="I441" t="s">
        <v>1769</v>
      </c>
    </row>
    <row r="442" spans="1:9" x14ac:dyDescent="0.25">
      <c r="A442" t="str">
        <f>"001048328"</f>
        <v>001048328</v>
      </c>
      <c r="B442" t="s">
        <v>1770</v>
      </c>
      <c r="D442" t="s">
        <v>1771</v>
      </c>
      <c r="E442" t="s">
        <v>1772</v>
      </c>
      <c r="G442" t="s">
        <v>1773</v>
      </c>
      <c r="H442" t="s">
        <v>28</v>
      </c>
      <c r="I442" t="s">
        <v>1774</v>
      </c>
    </row>
    <row r="443" spans="1:9" x14ac:dyDescent="0.25">
      <c r="A443" t="str">
        <f>"000980475"</f>
        <v>000980475</v>
      </c>
      <c r="B443" t="s">
        <v>1775</v>
      </c>
      <c r="D443" t="s">
        <v>1776</v>
      </c>
      <c r="E443" t="s">
        <v>1777</v>
      </c>
      <c r="G443" t="s">
        <v>83</v>
      </c>
      <c r="H443" t="s">
        <v>84</v>
      </c>
      <c r="I443" t="s">
        <v>1778</v>
      </c>
    </row>
    <row r="444" spans="1:9" x14ac:dyDescent="0.25">
      <c r="A444" t="str">
        <f>"001043949"</f>
        <v>001043949</v>
      </c>
      <c r="B444" t="s">
        <v>1779</v>
      </c>
      <c r="D444" t="s">
        <v>1780</v>
      </c>
      <c r="E444" t="s">
        <v>1781</v>
      </c>
      <c r="G444" t="s">
        <v>291</v>
      </c>
      <c r="H444" t="s">
        <v>182</v>
      </c>
      <c r="I444" t="s">
        <v>1782</v>
      </c>
    </row>
    <row r="445" spans="1:9" x14ac:dyDescent="0.25">
      <c r="A445" t="str">
        <f>"001052145"</f>
        <v>001052145</v>
      </c>
      <c r="B445" t="s">
        <v>1783</v>
      </c>
      <c r="D445" t="s">
        <v>1784</v>
      </c>
      <c r="G445" t="s">
        <v>1785</v>
      </c>
      <c r="H445" t="s">
        <v>28</v>
      </c>
      <c r="I445" t="s">
        <v>1786</v>
      </c>
    </row>
    <row r="446" spans="1:9" x14ac:dyDescent="0.25">
      <c r="A446" t="str">
        <f>"001038843"</f>
        <v>001038843</v>
      </c>
      <c r="B446" t="s">
        <v>1787</v>
      </c>
      <c r="D446" t="s">
        <v>1788</v>
      </c>
      <c r="G446" t="s">
        <v>1789</v>
      </c>
      <c r="H446" t="s">
        <v>161</v>
      </c>
      <c r="I446" t="s">
        <v>1790</v>
      </c>
    </row>
    <row r="447" spans="1:9" x14ac:dyDescent="0.25">
      <c r="A447" t="str">
        <f>"001012007"</f>
        <v>001012007</v>
      </c>
      <c r="B447" t="s">
        <v>1791</v>
      </c>
      <c r="D447" t="s">
        <v>1792</v>
      </c>
      <c r="G447" t="s">
        <v>550</v>
      </c>
      <c r="H447" t="s">
        <v>39</v>
      </c>
      <c r="I447" t="s">
        <v>1793</v>
      </c>
    </row>
    <row r="448" spans="1:9" x14ac:dyDescent="0.25">
      <c r="A448" t="str">
        <f>"001005614"</f>
        <v>001005614</v>
      </c>
      <c r="B448" t="s">
        <v>1794</v>
      </c>
      <c r="D448" t="s">
        <v>1795</v>
      </c>
      <c r="G448" t="s">
        <v>1796</v>
      </c>
      <c r="H448" t="s">
        <v>28</v>
      </c>
      <c r="I448" t="s">
        <v>1797</v>
      </c>
    </row>
    <row r="449" spans="1:9" x14ac:dyDescent="0.25">
      <c r="A449" t="str">
        <f>"001019823"</f>
        <v>001019823</v>
      </c>
      <c r="B449" t="s">
        <v>1798</v>
      </c>
      <c r="D449" t="s">
        <v>1799</v>
      </c>
      <c r="G449" t="s">
        <v>1800</v>
      </c>
      <c r="H449" t="s">
        <v>23</v>
      </c>
      <c r="I449" t="s">
        <v>1801</v>
      </c>
    </row>
    <row r="450" spans="1:9" x14ac:dyDescent="0.25">
      <c r="A450" t="str">
        <f>"000984787"</f>
        <v>000984787</v>
      </c>
      <c r="B450" t="s">
        <v>1802</v>
      </c>
      <c r="D450" t="s">
        <v>1803</v>
      </c>
      <c r="E450" t="s">
        <v>1804</v>
      </c>
      <c r="G450" t="s">
        <v>1805</v>
      </c>
      <c r="H450" t="s">
        <v>513</v>
      </c>
      <c r="I450" t="s">
        <v>1806</v>
      </c>
    </row>
    <row r="451" spans="1:9" x14ac:dyDescent="0.25">
      <c r="A451" t="str">
        <f>"001011727"</f>
        <v>001011727</v>
      </c>
      <c r="B451" t="s">
        <v>1807</v>
      </c>
      <c r="D451" t="s">
        <v>1808</v>
      </c>
      <c r="G451" t="s">
        <v>64</v>
      </c>
      <c r="H451" t="s">
        <v>39</v>
      </c>
      <c r="I451" t="s">
        <v>1809</v>
      </c>
    </row>
    <row r="452" spans="1:9" x14ac:dyDescent="0.25">
      <c r="A452" t="str">
        <f>"001053325"</f>
        <v>001053325</v>
      </c>
      <c r="B452" t="s">
        <v>1810</v>
      </c>
      <c r="D452" t="s">
        <v>1811</v>
      </c>
      <c r="G452" t="s">
        <v>1812</v>
      </c>
      <c r="H452" t="s">
        <v>51</v>
      </c>
      <c r="I452" t="s">
        <v>1813</v>
      </c>
    </row>
    <row r="453" spans="1:9" x14ac:dyDescent="0.25">
      <c r="A453" t="str">
        <f>"001046780"</f>
        <v>001046780</v>
      </c>
      <c r="B453" t="s">
        <v>1814</v>
      </c>
      <c r="D453" t="s">
        <v>1815</v>
      </c>
      <c r="E453" t="s">
        <v>1816</v>
      </c>
      <c r="G453" t="s">
        <v>1817</v>
      </c>
      <c r="H453" t="s">
        <v>13</v>
      </c>
      <c r="I453" t="s">
        <v>1818</v>
      </c>
    </row>
    <row r="454" spans="1:9" x14ac:dyDescent="0.25">
      <c r="A454" t="str">
        <f>"001035988"</f>
        <v>001035988</v>
      </c>
      <c r="B454" t="s">
        <v>1819</v>
      </c>
      <c r="D454" t="s">
        <v>1820</v>
      </c>
      <c r="E454" t="s">
        <v>1411</v>
      </c>
      <c r="G454" t="s">
        <v>64</v>
      </c>
      <c r="H454" t="s">
        <v>39</v>
      </c>
      <c r="I454" t="s">
        <v>1821</v>
      </c>
    </row>
    <row r="455" spans="1:9" x14ac:dyDescent="0.25">
      <c r="A455" t="str">
        <f>"001050066"</f>
        <v>001050066</v>
      </c>
      <c r="B455" t="s">
        <v>1822</v>
      </c>
      <c r="D455" t="s">
        <v>1823</v>
      </c>
      <c r="E455" t="s">
        <v>1824</v>
      </c>
      <c r="G455" t="s">
        <v>1825</v>
      </c>
      <c r="H455" t="s">
        <v>28</v>
      </c>
      <c r="I455" t="s">
        <v>1826</v>
      </c>
    </row>
    <row r="456" spans="1:9" x14ac:dyDescent="0.25">
      <c r="A456" t="str">
        <f>"001061171"</f>
        <v>001061171</v>
      </c>
      <c r="B456" t="s">
        <v>1827</v>
      </c>
      <c r="D456" t="s">
        <v>1828</v>
      </c>
      <c r="G456" t="s">
        <v>60</v>
      </c>
      <c r="H456" t="s">
        <v>28</v>
      </c>
      <c r="I456" t="s">
        <v>1829</v>
      </c>
    </row>
    <row r="457" spans="1:9" x14ac:dyDescent="0.25">
      <c r="A457" t="str">
        <f>"001048109"</f>
        <v>001048109</v>
      </c>
      <c r="B457" t="s">
        <v>1830</v>
      </c>
      <c r="D457" t="s">
        <v>1831</v>
      </c>
      <c r="G457" t="s">
        <v>1832</v>
      </c>
      <c r="H457" t="s">
        <v>1833</v>
      </c>
      <c r="I457" t="s">
        <v>1834</v>
      </c>
    </row>
    <row r="458" spans="1:9" x14ac:dyDescent="0.25">
      <c r="A458" t="str">
        <f>"001060076"</f>
        <v>001060076</v>
      </c>
      <c r="B458" t="s">
        <v>1835</v>
      </c>
      <c r="D458" t="s">
        <v>1836</v>
      </c>
      <c r="G458" t="s">
        <v>275</v>
      </c>
      <c r="H458" t="s">
        <v>23</v>
      </c>
      <c r="I458" t="s">
        <v>1837</v>
      </c>
    </row>
    <row r="459" spans="1:9" x14ac:dyDescent="0.25">
      <c r="A459" t="str">
        <f>"001071479"</f>
        <v>001071479</v>
      </c>
      <c r="B459" t="s">
        <v>1838</v>
      </c>
      <c r="D459" t="s">
        <v>1839</v>
      </c>
      <c r="G459" t="s">
        <v>1840</v>
      </c>
      <c r="I459">
        <v>91450</v>
      </c>
    </row>
    <row r="460" spans="1:9" x14ac:dyDescent="0.25">
      <c r="A460" t="str">
        <f>"001048824"</f>
        <v>001048824</v>
      </c>
      <c r="B460" t="s">
        <v>1841</v>
      </c>
      <c r="D460" t="s">
        <v>1842</v>
      </c>
      <c r="E460" t="s">
        <v>1843</v>
      </c>
      <c r="G460" t="s">
        <v>1844</v>
      </c>
      <c r="H460" t="s">
        <v>28</v>
      </c>
      <c r="I460" t="s">
        <v>1845</v>
      </c>
    </row>
    <row r="461" spans="1:9" x14ac:dyDescent="0.25">
      <c r="A461" t="str">
        <f>"001050978"</f>
        <v>001050978</v>
      </c>
      <c r="B461" t="s">
        <v>1846</v>
      </c>
      <c r="D461" t="s">
        <v>1847</v>
      </c>
      <c r="G461" t="s">
        <v>1848</v>
      </c>
      <c r="H461" t="s">
        <v>13</v>
      </c>
      <c r="I461" t="s">
        <v>1849</v>
      </c>
    </row>
    <row r="462" spans="1:9" x14ac:dyDescent="0.25">
      <c r="A462" t="str">
        <f>"001058893"</f>
        <v>001058893</v>
      </c>
      <c r="B462" t="s">
        <v>1850</v>
      </c>
      <c r="D462" t="s">
        <v>1851</v>
      </c>
      <c r="G462" t="s">
        <v>267</v>
      </c>
      <c r="H462" t="s">
        <v>39</v>
      </c>
      <c r="I462" t="s">
        <v>1852</v>
      </c>
    </row>
    <row r="463" spans="1:9" x14ac:dyDescent="0.25">
      <c r="A463" t="str">
        <f>"001070786"</f>
        <v>001070786</v>
      </c>
      <c r="B463" t="s">
        <v>1853</v>
      </c>
      <c r="D463" t="s">
        <v>1854</v>
      </c>
      <c r="G463" t="s">
        <v>1230</v>
      </c>
      <c r="H463" t="s">
        <v>468</v>
      </c>
      <c r="I463" t="s">
        <v>1855</v>
      </c>
    </row>
    <row r="464" spans="1:9" x14ac:dyDescent="0.25">
      <c r="A464" t="str">
        <f>"001058888"</f>
        <v>001058888</v>
      </c>
      <c r="B464" t="s">
        <v>1856</v>
      </c>
      <c r="D464" t="s">
        <v>1857</v>
      </c>
      <c r="G464" t="s">
        <v>90</v>
      </c>
      <c r="H464" t="s">
        <v>39</v>
      </c>
      <c r="I464" t="s">
        <v>1858</v>
      </c>
    </row>
    <row r="465" spans="1:9" x14ac:dyDescent="0.25">
      <c r="A465" t="str">
        <f>"001072154"</f>
        <v>001072154</v>
      </c>
      <c r="B465" t="s">
        <v>1859</v>
      </c>
      <c r="D465" t="s">
        <v>1860</v>
      </c>
      <c r="G465" t="s">
        <v>1536</v>
      </c>
      <c r="H465" t="s">
        <v>13</v>
      </c>
      <c r="I465" t="s">
        <v>1861</v>
      </c>
    </row>
    <row r="466" spans="1:9" x14ac:dyDescent="0.25">
      <c r="A466" t="str">
        <f>"001069378"</f>
        <v>001069378</v>
      </c>
      <c r="B466" t="s">
        <v>1862</v>
      </c>
      <c r="D466" t="s">
        <v>1863</v>
      </c>
      <c r="G466" t="s">
        <v>60</v>
      </c>
      <c r="H466" t="s">
        <v>28</v>
      </c>
      <c r="I466" t="s">
        <v>1864</v>
      </c>
    </row>
    <row r="467" spans="1:9" x14ac:dyDescent="0.25">
      <c r="A467" t="str">
        <f>"000802347"</f>
        <v>000802347</v>
      </c>
      <c r="B467" t="s">
        <v>1865</v>
      </c>
      <c r="D467" t="s">
        <v>1866</v>
      </c>
      <c r="E467" t="s">
        <v>1867</v>
      </c>
      <c r="G467" t="s">
        <v>64</v>
      </c>
      <c r="H467" t="s">
        <v>39</v>
      </c>
      <c r="I467" t="s">
        <v>1868</v>
      </c>
    </row>
    <row r="468" spans="1:9" x14ac:dyDescent="0.25">
      <c r="A468" t="str">
        <f>"000808890"</f>
        <v>000808890</v>
      </c>
      <c r="B468" t="s">
        <v>1869</v>
      </c>
      <c r="D468" t="s">
        <v>1870</v>
      </c>
      <c r="G468" t="s">
        <v>1871</v>
      </c>
      <c r="I468">
        <v>3000</v>
      </c>
    </row>
    <row r="469" spans="1:9" x14ac:dyDescent="0.25">
      <c r="A469" t="str">
        <f>"000803403"</f>
        <v>000803403</v>
      </c>
      <c r="B469" t="s">
        <v>1872</v>
      </c>
      <c r="D469" t="s">
        <v>1873</v>
      </c>
      <c r="G469" t="s">
        <v>275</v>
      </c>
      <c r="H469" t="s">
        <v>23</v>
      </c>
      <c r="I469" t="s">
        <v>1874</v>
      </c>
    </row>
    <row r="470" spans="1:9" x14ac:dyDescent="0.25">
      <c r="A470" t="str">
        <f>"000628932"</f>
        <v>000628932</v>
      </c>
      <c r="B470" t="s">
        <v>1875</v>
      </c>
      <c r="D470" t="s">
        <v>1876</v>
      </c>
      <c r="E470" t="s">
        <v>1877</v>
      </c>
      <c r="G470" t="s">
        <v>751</v>
      </c>
      <c r="H470" t="s">
        <v>540</v>
      </c>
      <c r="I470" t="s">
        <v>1878</v>
      </c>
    </row>
    <row r="471" spans="1:9" x14ac:dyDescent="0.25">
      <c r="A471" t="str">
        <f>"000800989"</f>
        <v>000800989</v>
      </c>
      <c r="B471" t="s">
        <v>1879</v>
      </c>
      <c r="D471" t="s">
        <v>1880</v>
      </c>
      <c r="G471" t="s">
        <v>1881</v>
      </c>
      <c r="H471" t="s">
        <v>28</v>
      </c>
      <c r="I471" t="s">
        <v>1882</v>
      </c>
    </row>
    <row r="472" spans="1:9" x14ac:dyDescent="0.25">
      <c r="A472" t="str">
        <f>"000802392"</f>
        <v>000802392</v>
      </c>
      <c r="B472" t="s">
        <v>1883</v>
      </c>
      <c r="D472" t="s">
        <v>1884</v>
      </c>
      <c r="G472" t="s">
        <v>291</v>
      </c>
      <c r="H472" t="s">
        <v>182</v>
      </c>
      <c r="I472" t="s">
        <v>1885</v>
      </c>
    </row>
    <row r="473" spans="1:9" x14ac:dyDescent="0.25">
      <c r="A473" t="str">
        <f>"000800783"</f>
        <v>000800783</v>
      </c>
      <c r="B473" t="s">
        <v>1886</v>
      </c>
      <c r="D473" t="s">
        <v>1887</v>
      </c>
      <c r="G473" t="s">
        <v>60</v>
      </c>
      <c r="H473" t="s">
        <v>28</v>
      </c>
      <c r="I473" t="s">
        <v>1888</v>
      </c>
    </row>
    <row r="474" spans="1:9" x14ac:dyDescent="0.25">
      <c r="A474" t="str">
        <f>"000849345"</f>
        <v>000849345</v>
      </c>
      <c r="B474" t="s">
        <v>1889</v>
      </c>
      <c r="D474" t="s">
        <v>1890</v>
      </c>
      <c r="G474" t="s">
        <v>64</v>
      </c>
      <c r="H474" t="s">
        <v>39</v>
      </c>
      <c r="I474" t="s">
        <v>1891</v>
      </c>
    </row>
    <row r="475" spans="1:9" x14ac:dyDescent="0.25">
      <c r="A475" t="str">
        <f>"000563114"</f>
        <v>000563114</v>
      </c>
      <c r="B475" t="s">
        <v>1892</v>
      </c>
      <c r="D475" t="s">
        <v>1893</v>
      </c>
      <c r="G475" t="s">
        <v>64</v>
      </c>
      <c r="H475" t="s">
        <v>39</v>
      </c>
      <c r="I475" t="s">
        <v>1894</v>
      </c>
    </row>
    <row r="476" spans="1:9" x14ac:dyDescent="0.25">
      <c r="A476" t="str">
        <f>"000585240"</f>
        <v>000585240</v>
      </c>
      <c r="B476" t="s">
        <v>1895</v>
      </c>
      <c r="D476" t="s">
        <v>1896</v>
      </c>
      <c r="G476" t="s">
        <v>64</v>
      </c>
      <c r="H476" t="s">
        <v>39</v>
      </c>
      <c r="I476" t="s">
        <v>1897</v>
      </c>
    </row>
    <row r="477" spans="1:9" x14ac:dyDescent="0.25">
      <c r="A477" t="str">
        <f>"000556387"</f>
        <v>000556387</v>
      </c>
      <c r="B477" t="s">
        <v>1898</v>
      </c>
      <c r="D477" t="s">
        <v>1899</v>
      </c>
      <c r="G477" t="s">
        <v>1305</v>
      </c>
      <c r="H477" t="s">
        <v>131</v>
      </c>
      <c r="I477" t="s">
        <v>1900</v>
      </c>
    </row>
    <row r="478" spans="1:9" x14ac:dyDescent="0.25">
      <c r="A478" t="str">
        <f>"000557802"</f>
        <v>000557802</v>
      </c>
      <c r="B478" t="s">
        <v>1901</v>
      </c>
      <c r="D478" t="s">
        <v>1902</v>
      </c>
      <c r="G478" t="s">
        <v>64</v>
      </c>
      <c r="H478" t="s">
        <v>39</v>
      </c>
      <c r="I478" t="s">
        <v>1903</v>
      </c>
    </row>
    <row r="479" spans="1:9" x14ac:dyDescent="0.25">
      <c r="A479" t="str">
        <f>"000561166"</f>
        <v>000561166</v>
      </c>
      <c r="B479" t="s">
        <v>1904</v>
      </c>
      <c r="D479" t="s">
        <v>1905</v>
      </c>
      <c r="G479" t="s">
        <v>64</v>
      </c>
      <c r="H479" t="s">
        <v>39</v>
      </c>
      <c r="I479" t="s">
        <v>1906</v>
      </c>
    </row>
    <row r="480" spans="1:9" x14ac:dyDescent="0.25">
      <c r="A480" t="str">
        <f>"000012089"</f>
        <v>000012089</v>
      </c>
      <c r="B480" t="s">
        <v>1907</v>
      </c>
      <c r="D480" t="s">
        <v>1908</v>
      </c>
      <c r="G480" t="s">
        <v>1909</v>
      </c>
      <c r="I480" t="s">
        <v>1910</v>
      </c>
    </row>
    <row r="481" spans="1:9" x14ac:dyDescent="0.25">
      <c r="A481" t="str">
        <f>"000011129"</f>
        <v>000011129</v>
      </c>
      <c r="B481" t="s">
        <v>1911</v>
      </c>
      <c r="D481" t="s">
        <v>1912</v>
      </c>
      <c r="G481" t="s">
        <v>64</v>
      </c>
      <c r="H481" t="s">
        <v>39</v>
      </c>
      <c r="I481" t="s">
        <v>1913</v>
      </c>
    </row>
    <row r="482" spans="1:9" x14ac:dyDescent="0.25">
      <c r="A482" t="str">
        <f>"000011111"</f>
        <v>000011111</v>
      </c>
      <c r="B482" t="s">
        <v>1914</v>
      </c>
      <c r="D482" t="s">
        <v>1915</v>
      </c>
      <c r="E482" t="s">
        <v>1916</v>
      </c>
      <c r="G482" t="s">
        <v>64</v>
      </c>
      <c r="H482" t="s">
        <v>39</v>
      </c>
      <c r="I482" t="s">
        <v>1917</v>
      </c>
    </row>
    <row r="483" spans="1:9" x14ac:dyDescent="0.25">
      <c r="A483" t="str">
        <f>"000010666"</f>
        <v>000010666</v>
      </c>
      <c r="B483" t="s">
        <v>1918</v>
      </c>
      <c r="D483" t="s">
        <v>1919</v>
      </c>
      <c r="E483" t="s">
        <v>1920</v>
      </c>
      <c r="F483" t="s">
        <v>1921</v>
      </c>
      <c r="G483" t="s">
        <v>64</v>
      </c>
      <c r="H483" t="s">
        <v>39</v>
      </c>
      <c r="I483" t="s">
        <v>1922</v>
      </c>
    </row>
    <row r="484" spans="1:9" x14ac:dyDescent="0.25">
      <c r="A484" t="str">
        <f>"000012072"</f>
        <v>000012072</v>
      </c>
      <c r="B484" t="s">
        <v>1923</v>
      </c>
      <c r="D484" t="s">
        <v>1924</v>
      </c>
      <c r="G484" t="s">
        <v>170</v>
      </c>
      <c r="H484" t="s">
        <v>171</v>
      </c>
      <c r="I484" t="s">
        <v>1925</v>
      </c>
    </row>
    <row r="485" spans="1:9" x14ac:dyDescent="0.25">
      <c r="A485" t="str">
        <f>"000011708"</f>
        <v>000011708</v>
      </c>
      <c r="B485" t="s">
        <v>1926</v>
      </c>
      <c r="D485" t="s">
        <v>1927</v>
      </c>
      <c r="G485" t="s">
        <v>1169</v>
      </c>
      <c r="H485" t="s">
        <v>131</v>
      </c>
      <c r="I485" t="s">
        <v>1928</v>
      </c>
    </row>
    <row r="486" spans="1:9" x14ac:dyDescent="0.25">
      <c r="A486" t="str">
        <f>"000010111"</f>
        <v>000010111</v>
      </c>
      <c r="B486" t="s">
        <v>1929</v>
      </c>
      <c r="D486" t="s">
        <v>1930</v>
      </c>
      <c r="G486" t="s">
        <v>242</v>
      </c>
      <c r="H486" t="s">
        <v>161</v>
      </c>
      <c r="I486" t="s">
        <v>1931</v>
      </c>
    </row>
    <row r="487" spans="1:9" x14ac:dyDescent="0.25">
      <c r="A487" t="str">
        <f>"000011518"</f>
        <v>000011518</v>
      </c>
      <c r="B487" t="s">
        <v>1932</v>
      </c>
      <c r="D487" t="s">
        <v>1933</v>
      </c>
      <c r="G487" t="s">
        <v>1934</v>
      </c>
      <c r="H487" t="s">
        <v>46</v>
      </c>
      <c r="I487" t="s">
        <v>1935</v>
      </c>
    </row>
    <row r="488" spans="1:9" x14ac:dyDescent="0.25">
      <c r="A488" t="str">
        <f>"000011295"</f>
        <v>000011295</v>
      </c>
      <c r="B488" t="s">
        <v>1936</v>
      </c>
      <c r="D488" t="s">
        <v>1937</v>
      </c>
      <c r="G488" t="s">
        <v>523</v>
      </c>
      <c r="H488" t="s">
        <v>524</v>
      </c>
      <c r="I488" t="s">
        <v>1938</v>
      </c>
    </row>
    <row r="489" spans="1:9" x14ac:dyDescent="0.25">
      <c r="A489" t="str">
        <f>"000012506"</f>
        <v>000012506</v>
      </c>
      <c r="B489" t="s">
        <v>1939</v>
      </c>
      <c r="D489" t="s">
        <v>1940</v>
      </c>
      <c r="E489" t="s">
        <v>1941</v>
      </c>
      <c r="G489" t="s">
        <v>994</v>
      </c>
      <c r="H489" t="s">
        <v>879</v>
      </c>
      <c r="I489" t="s">
        <v>1942</v>
      </c>
    </row>
    <row r="490" spans="1:9" x14ac:dyDescent="0.25">
      <c r="A490" t="str">
        <f>"000010435"</f>
        <v>000010435</v>
      </c>
      <c r="B490" t="s">
        <v>1943</v>
      </c>
      <c r="D490" t="s">
        <v>1944</v>
      </c>
      <c r="G490" t="s">
        <v>291</v>
      </c>
      <c r="H490" t="s">
        <v>182</v>
      </c>
      <c r="I490" t="s">
        <v>1945</v>
      </c>
    </row>
    <row r="491" spans="1:9" x14ac:dyDescent="0.25">
      <c r="A491" t="str">
        <f>"000012700"</f>
        <v>000012700</v>
      </c>
      <c r="B491" t="s">
        <v>1946</v>
      </c>
      <c r="D491" t="s">
        <v>1947</v>
      </c>
      <c r="G491" t="s">
        <v>1948</v>
      </c>
      <c r="H491" t="s">
        <v>39</v>
      </c>
      <c r="I491" t="s">
        <v>1949</v>
      </c>
    </row>
    <row r="492" spans="1:9" x14ac:dyDescent="0.25">
      <c r="A492" t="str">
        <f>"000011652"</f>
        <v>000011652</v>
      </c>
      <c r="B492" t="s">
        <v>1950</v>
      </c>
      <c r="D492" t="s">
        <v>1951</v>
      </c>
      <c r="E492" t="s">
        <v>1952</v>
      </c>
      <c r="G492" t="s">
        <v>1953</v>
      </c>
      <c r="H492" t="s">
        <v>131</v>
      </c>
      <c r="I492" t="s">
        <v>1954</v>
      </c>
    </row>
    <row r="493" spans="1:9" x14ac:dyDescent="0.25">
      <c r="A493" t="str">
        <f>"000010426"</f>
        <v>000010426</v>
      </c>
      <c r="B493" t="s">
        <v>1955</v>
      </c>
      <c r="D493" t="s">
        <v>1956</v>
      </c>
      <c r="G493" t="s">
        <v>1957</v>
      </c>
      <c r="H493" t="s">
        <v>1958</v>
      </c>
      <c r="I493" t="s">
        <v>1959</v>
      </c>
    </row>
    <row r="494" spans="1:9" x14ac:dyDescent="0.25">
      <c r="A494" t="str">
        <f>"000010407"</f>
        <v>000010407</v>
      </c>
      <c r="B494" t="s">
        <v>1960</v>
      </c>
      <c r="D494" t="s">
        <v>1961</v>
      </c>
      <c r="G494" t="s">
        <v>1591</v>
      </c>
      <c r="H494" t="s">
        <v>23</v>
      </c>
      <c r="I494" t="s">
        <v>1962</v>
      </c>
    </row>
    <row r="495" spans="1:9" x14ac:dyDescent="0.25">
      <c r="A495" t="str">
        <f>"000012203"</f>
        <v>000012203</v>
      </c>
      <c r="B495" t="s">
        <v>1963</v>
      </c>
      <c r="D495" t="s">
        <v>1964</v>
      </c>
      <c r="G495" t="s">
        <v>64</v>
      </c>
      <c r="H495" t="s">
        <v>39</v>
      </c>
      <c r="I495" t="s">
        <v>1965</v>
      </c>
    </row>
    <row r="496" spans="1:9" x14ac:dyDescent="0.25">
      <c r="A496" t="str">
        <f>"000010764"</f>
        <v>000010764</v>
      </c>
      <c r="B496" t="s">
        <v>1966</v>
      </c>
      <c r="D496" t="s">
        <v>1967</v>
      </c>
      <c r="G496" t="s">
        <v>64</v>
      </c>
      <c r="H496" t="s">
        <v>39</v>
      </c>
      <c r="I496" t="s">
        <v>1968</v>
      </c>
    </row>
    <row r="497" spans="1:9" x14ac:dyDescent="0.25">
      <c r="A497" t="str">
        <f>"000012651"</f>
        <v>000012651</v>
      </c>
      <c r="B497" t="s">
        <v>1969</v>
      </c>
      <c r="D497" t="s">
        <v>1970</v>
      </c>
      <c r="E497" t="s">
        <v>1971</v>
      </c>
      <c r="G497" t="s">
        <v>545</v>
      </c>
      <c r="H497" t="s">
        <v>1972</v>
      </c>
      <c r="I497" t="s">
        <v>1973</v>
      </c>
    </row>
    <row r="498" spans="1:9" x14ac:dyDescent="0.25">
      <c r="A498" t="str">
        <f>"000012647"</f>
        <v>000012647</v>
      </c>
      <c r="B498" t="s">
        <v>1974</v>
      </c>
      <c r="D498" t="s">
        <v>1975</v>
      </c>
      <c r="E498" t="s">
        <v>1976</v>
      </c>
      <c r="G498" t="s">
        <v>64</v>
      </c>
      <c r="H498" t="s">
        <v>39</v>
      </c>
      <c r="I498" t="s">
        <v>1977</v>
      </c>
    </row>
    <row r="499" spans="1:9" x14ac:dyDescent="0.25">
      <c r="A499" t="str">
        <f>"000012629"</f>
        <v>000012629</v>
      </c>
      <c r="B499" t="s">
        <v>1978</v>
      </c>
      <c r="D499" t="s">
        <v>1979</v>
      </c>
      <c r="G499" t="s">
        <v>64</v>
      </c>
      <c r="H499" t="s">
        <v>39</v>
      </c>
      <c r="I499" t="s">
        <v>1980</v>
      </c>
    </row>
    <row r="500" spans="1:9" x14ac:dyDescent="0.25">
      <c r="A500" t="str">
        <f>"000012420"</f>
        <v>000012420</v>
      </c>
      <c r="B500" t="s">
        <v>1981</v>
      </c>
      <c r="D500" t="s">
        <v>1982</v>
      </c>
      <c r="G500" t="s">
        <v>1983</v>
      </c>
      <c r="H500" t="s">
        <v>166</v>
      </c>
      <c r="I500" t="s">
        <v>1984</v>
      </c>
    </row>
    <row r="501" spans="1:9" x14ac:dyDescent="0.25">
      <c r="A501" t="str">
        <f>"000012858"</f>
        <v>000012858</v>
      </c>
      <c r="B501" t="s">
        <v>1985</v>
      </c>
      <c r="D501" t="s">
        <v>1986</v>
      </c>
      <c r="E501" t="s">
        <v>1987</v>
      </c>
      <c r="G501" t="s">
        <v>12</v>
      </c>
      <c r="H501" t="s">
        <v>13</v>
      </c>
      <c r="I501" t="s">
        <v>1988</v>
      </c>
    </row>
    <row r="502" spans="1:9" x14ac:dyDescent="0.25">
      <c r="A502" t="str">
        <f>"000011391"</f>
        <v>000011391</v>
      </c>
      <c r="B502" t="s">
        <v>1989</v>
      </c>
      <c r="D502" t="s">
        <v>1990</v>
      </c>
      <c r="G502" t="s">
        <v>64</v>
      </c>
      <c r="H502" t="s">
        <v>39</v>
      </c>
      <c r="I502" t="s">
        <v>1991</v>
      </c>
    </row>
    <row r="503" spans="1:9" x14ac:dyDescent="0.25">
      <c r="A503" t="str">
        <f>"000011207"</f>
        <v>000011207</v>
      </c>
      <c r="B503" t="s">
        <v>1992</v>
      </c>
      <c r="D503" t="s">
        <v>1993</v>
      </c>
      <c r="G503" t="s">
        <v>1994</v>
      </c>
      <c r="H503" t="s">
        <v>39</v>
      </c>
      <c r="I503" t="s">
        <v>1995</v>
      </c>
    </row>
    <row r="504" spans="1:9" x14ac:dyDescent="0.25">
      <c r="A504" t="str">
        <f>"000011361"</f>
        <v>000011361</v>
      </c>
      <c r="B504" t="s">
        <v>1996</v>
      </c>
      <c r="D504" t="s">
        <v>1997</v>
      </c>
      <c r="G504" t="s">
        <v>653</v>
      </c>
      <c r="H504" t="s">
        <v>51</v>
      </c>
      <c r="I504" t="s">
        <v>1998</v>
      </c>
    </row>
    <row r="505" spans="1:9" x14ac:dyDescent="0.25">
      <c r="A505" t="str">
        <f>"000012147"</f>
        <v>000012147</v>
      </c>
      <c r="B505" t="s">
        <v>1999</v>
      </c>
      <c r="D505" t="s">
        <v>2000</v>
      </c>
      <c r="E505" t="s">
        <v>2001</v>
      </c>
      <c r="G505" t="s">
        <v>64</v>
      </c>
      <c r="H505" t="s">
        <v>39</v>
      </c>
      <c r="I505" t="s">
        <v>2002</v>
      </c>
    </row>
    <row r="506" spans="1:9" x14ac:dyDescent="0.25">
      <c r="A506" t="str">
        <f>"000012112"</f>
        <v>000012112</v>
      </c>
      <c r="B506" t="s">
        <v>2003</v>
      </c>
      <c r="D506" t="s">
        <v>2004</v>
      </c>
      <c r="E506" t="s">
        <v>2005</v>
      </c>
      <c r="G506" t="s">
        <v>1714</v>
      </c>
      <c r="H506" t="s">
        <v>383</v>
      </c>
      <c r="I506" t="s">
        <v>2006</v>
      </c>
    </row>
    <row r="507" spans="1:9" x14ac:dyDescent="0.25">
      <c r="A507" t="str">
        <f>"000013068"</f>
        <v>000013068</v>
      </c>
      <c r="B507" t="s">
        <v>2007</v>
      </c>
      <c r="D507" t="s">
        <v>1767</v>
      </c>
      <c r="G507" t="s">
        <v>1768</v>
      </c>
      <c r="H507" t="s">
        <v>827</v>
      </c>
      <c r="I507" t="s">
        <v>2008</v>
      </c>
    </row>
    <row r="508" spans="1:9" x14ac:dyDescent="0.25">
      <c r="A508" t="str">
        <f>"000012837"</f>
        <v>000012837</v>
      </c>
      <c r="B508" t="s">
        <v>2009</v>
      </c>
      <c r="D508" t="s">
        <v>2010</v>
      </c>
      <c r="G508" t="s">
        <v>64</v>
      </c>
      <c r="H508" t="s">
        <v>39</v>
      </c>
      <c r="I508" t="s">
        <v>2011</v>
      </c>
    </row>
    <row r="509" spans="1:9" x14ac:dyDescent="0.25">
      <c r="A509" t="str">
        <f>"000012344"</f>
        <v>000012344</v>
      </c>
      <c r="B509" t="s">
        <v>2012</v>
      </c>
      <c r="D509" t="s">
        <v>2013</v>
      </c>
      <c r="E509" t="s">
        <v>2014</v>
      </c>
      <c r="G509" t="s">
        <v>64</v>
      </c>
      <c r="H509" t="s">
        <v>39</v>
      </c>
      <c r="I509" t="s">
        <v>2015</v>
      </c>
    </row>
    <row r="510" spans="1:9" x14ac:dyDescent="0.25">
      <c r="A510" t="str">
        <f>"000010370"</f>
        <v>000010370</v>
      </c>
      <c r="B510" t="s">
        <v>2016</v>
      </c>
      <c r="D510" t="s">
        <v>2017</v>
      </c>
      <c r="E510" t="s">
        <v>2018</v>
      </c>
      <c r="G510" t="s">
        <v>170</v>
      </c>
      <c r="H510" t="s">
        <v>171</v>
      </c>
      <c r="I510" t="s">
        <v>2019</v>
      </c>
    </row>
    <row r="511" spans="1:9" x14ac:dyDescent="0.25">
      <c r="A511" t="str">
        <f>"000010142"</f>
        <v>000010142</v>
      </c>
      <c r="B511" t="s">
        <v>2020</v>
      </c>
      <c r="D511" t="s">
        <v>2021</v>
      </c>
      <c r="E511" t="s">
        <v>2022</v>
      </c>
      <c r="G511" t="s">
        <v>2023</v>
      </c>
      <c r="H511" t="s">
        <v>1012</v>
      </c>
      <c r="I511" t="s">
        <v>2024</v>
      </c>
    </row>
    <row r="512" spans="1:9" x14ac:dyDescent="0.25">
      <c r="A512" t="str">
        <f>"000010138"</f>
        <v>000010138</v>
      </c>
      <c r="B512" t="s">
        <v>2025</v>
      </c>
      <c r="D512" t="s">
        <v>2026</v>
      </c>
      <c r="G512" t="s">
        <v>2027</v>
      </c>
      <c r="H512" t="s">
        <v>84</v>
      </c>
      <c r="I512" t="s">
        <v>2028</v>
      </c>
    </row>
    <row r="513" spans="1:9" x14ac:dyDescent="0.25">
      <c r="A513" t="str">
        <f>"000011561"</f>
        <v>000011561</v>
      </c>
      <c r="B513" t="s">
        <v>2029</v>
      </c>
      <c r="D513" t="s">
        <v>2030</v>
      </c>
      <c r="E513" t="s">
        <v>2031</v>
      </c>
      <c r="G513" t="s">
        <v>949</v>
      </c>
      <c r="H513" t="s">
        <v>34</v>
      </c>
      <c r="I513" t="s">
        <v>2032</v>
      </c>
    </row>
    <row r="514" spans="1:9" x14ac:dyDescent="0.25">
      <c r="A514" t="str">
        <f>"000011351"</f>
        <v>000011351</v>
      </c>
      <c r="B514" t="s">
        <v>2033</v>
      </c>
      <c r="D514" t="s">
        <v>2034</v>
      </c>
      <c r="G514" t="s">
        <v>688</v>
      </c>
      <c r="H514" t="s">
        <v>39</v>
      </c>
      <c r="I514" t="s">
        <v>2035</v>
      </c>
    </row>
    <row r="515" spans="1:9" x14ac:dyDescent="0.25">
      <c r="A515" t="str">
        <f>"000050665"</f>
        <v>000050665</v>
      </c>
      <c r="B515" t="s">
        <v>2036</v>
      </c>
      <c r="D515" t="s">
        <v>2037</v>
      </c>
      <c r="E515" t="s">
        <v>2038</v>
      </c>
      <c r="G515" t="s">
        <v>64</v>
      </c>
      <c r="H515" t="s">
        <v>39</v>
      </c>
      <c r="I515" t="s">
        <v>2039</v>
      </c>
    </row>
    <row r="516" spans="1:9" x14ac:dyDescent="0.25">
      <c r="A516" t="str">
        <f>"000809642"</f>
        <v>000809642</v>
      </c>
      <c r="B516" t="s">
        <v>2040</v>
      </c>
      <c r="D516" t="s">
        <v>2041</v>
      </c>
      <c r="G516" t="s">
        <v>214</v>
      </c>
      <c r="H516" t="s">
        <v>120</v>
      </c>
      <c r="I516" t="s">
        <v>2042</v>
      </c>
    </row>
    <row r="517" spans="1:9" x14ac:dyDescent="0.25">
      <c r="A517" t="str">
        <f>"000812431"</f>
        <v>000812431</v>
      </c>
      <c r="B517" t="s">
        <v>2043</v>
      </c>
      <c r="D517" t="s">
        <v>2044</v>
      </c>
      <c r="G517" t="s">
        <v>38</v>
      </c>
      <c r="H517" t="s">
        <v>39</v>
      </c>
      <c r="I517" t="s">
        <v>2045</v>
      </c>
    </row>
    <row r="518" spans="1:9" x14ac:dyDescent="0.25">
      <c r="A518" t="str">
        <f>"000864828"</f>
        <v>000864828</v>
      </c>
      <c r="B518" t="s">
        <v>2046</v>
      </c>
      <c r="D518" t="s">
        <v>2047</v>
      </c>
      <c r="G518" t="s">
        <v>2048</v>
      </c>
      <c r="H518" t="s">
        <v>23</v>
      </c>
      <c r="I518" t="s">
        <v>2049</v>
      </c>
    </row>
    <row r="519" spans="1:9" x14ac:dyDescent="0.25">
      <c r="A519" t="str">
        <f>"000813172"</f>
        <v>000813172</v>
      </c>
      <c r="B519" t="s">
        <v>2050</v>
      </c>
      <c r="D519" t="s">
        <v>2051</v>
      </c>
      <c r="G519" t="s">
        <v>1796</v>
      </c>
      <c r="H519" t="s">
        <v>28</v>
      </c>
      <c r="I519" t="s">
        <v>2052</v>
      </c>
    </row>
    <row r="520" spans="1:9" x14ac:dyDescent="0.25">
      <c r="A520" t="str">
        <f>"000813178"</f>
        <v>000813178</v>
      </c>
      <c r="B520" t="s">
        <v>2053</v>
      </c>
      <c r="D520" t="s">
        <v>2054</v>
      </c>
      <c r="G520" t="s">
        <v>291</v>
      </c>
      <c r="H520" t="s">
        <v>182</v>
      </c>
      <c r="I520" t="s">
        <v>2055</v>
      </c>
    </row>
    <row r="521" spans="1:9" x14ac:dyDescent="0.25">
      <c r="A521" t="str">
        <f>"000802104"</f>
        <v>000802104</v>
      </c>
      <c r="B521" t="s">
        <v>2056</v>
      </c>
      <c r="D521" t="s">
        <v>2057</v>
      </c>
      <c r="G521" t="s">
        <v>2058</v>
      </c>
      <c r="H521" t="s">
        <v>39</v>
      </c>
      <c r="I521" t="s">
        <v>2059</v>
      </c>
    </row>
    <row r="522" spans="1:9" x14ac:dyDescent="0.25">
      <c r="A522" t="str">
        <f>"000881072"</f>
        <v>000881072</v>
      </c>
      <c r="B522" t="s">
        <v>2060</v>
      </c>
      <c r="D522" t="s">
        <v>2061</v>
      </c>
      <c r="E522" t="s">
        <v>2062</v>
      </c>
      <c r="F522" t="s">
        <v>2063</v>
      </c>
      <c r="G522" t="s">
        <v>2064</v>
      </c>
      <c r="H522" t="s">
        <v>13</v>
      </c>
      <c r="I522" t="s">
        <v>2065</v>
      </c>
    </row>
    <row r="523" spans="1:9" x14ac:dyDescent="0.25">
      <c r="A523" t="str">
        <f>"000808732"</f>
        <v>000808732</v>
      </c>
      <c r="B523" t="s">
        <v>2066</v>
      </c>
      <c r="D523" t="s">
        <v>2067</v>
      </c>
      <c r="G523" t="s">
        <v>2068</v>
      </c>
      <c r="H523" t="s">
        <v>182</v>
      </c>
      <c r="I523" t="s">
        <v>2069</v>
      </c>
    </row>
    <row r="524" spans="1:9" x14ac:dyDescent="0.25">
      <c r="A524" t="str">
        <f>"000803593"</f>
        <v>000803593</v>
      </c>
      <c r="B524" t="s">
        <v>2070</v>
      </c>
      <c r="D524" t="s">
        <v>2071</v>
      </c>
      <c r="G524" t="s">
        <v>2072</v>
      </c>
      <c r="H524" t="s">
        <v>161</v>
      </c>
      <c r="I524" t="s">
        <v>2073</v>
      </c>
    </row>
    <row r="525" spans="1:9" x14ac:dyDescent="0.25">
      <c r="A525" t="str">
        <f>"000811504"</f>
        <v>000811504</v>
      </c>
      <c r="B525" t="s">
        <v>2074</v>
      </c>
      <c r="D525" t="s">
        <v>2075</v>
      </c>
      <c r="G525" t="s">
        <v>64</v>
      </c>
      <c r="H525" t="s">
        <v>39</v>
      </c>
      <c r="I525" t="s">
        <v>2076</v>
      </c>
    </row>
    <row r="526" spans="1:9" x14ac:dyDescent="0.25">
      <c r="A526" t="str">
        <f>"000876179"</f>
        <v>000876179</v>
      </c>
      <c r="B526" t="s">
        <v>2077</v>
      </c>
      <c r="D526" t="s">
        <v>2078</v>
      </c>
      <c r="G526" t="s">
        <v>64</v>
      </c>
      <c r="H526" t="s">
        <v>39</v>
      </c>
      <c r="I526" t="s">
        <v>2079</v>
      </c>
    </row>
    <row r="527" spans="1:9" x14ac:dyDescent="0.25">
      <c r="A527" t="str">
        <f>"000161194"</f>
        <v>000161194</v>
      </c>
      <c r="B527" t="s">
        <v>2080</v>
      </c>
      <c r="D527" t="s">
        <v>2081</v>
      </c>
      <c r="E527" t="s">
        <v>2082</v>
      </c>
      <c r="G527" t="s">
        <v>678</v>
      </c>
      <c r="H527" t="s">
        <v>28</v>
      </c>
      <c r="I527" t="s">
        <v>2083</v>
      </c>
    </row>
    <row r="528" spans="1:9" x14ac:dyDescent="0.25">
      <c r="A528" t="str">
        <f>"000881175"</f>
        <v>000881175</v>
      </c>
      <c r="B528" t="s">
        <v>2084</v>
      </c>
      <c r="D528" t="s">
        <v>2085</v>
      </c>
      <c r="E528" t="s">
        <v>2086</v>
      </c>
      <c r="G528" t="s">
        <v>1493</v>
      </c>
      <c r="H528" t="s">
        <v>39</v>
      </c>
      <c r="I528" t="s">
        <v>2087</v>
      </c>
    </row>
    <row r="529" spans="1:9" x14ac:dyDescent="0.25">
      <c r="A529" t="str">
        <f>"000184203"</f>
        <v>000184203</v>
      </c>
      <c r="B529" t="s">
        <v>2088</v>
      </c>
      <c r="D529" t="s">
        <v>2089</v>
      </c>
      <c r="E529" t="s">
        <v>2090</v>
      </c>
      <c r="G529" t="s">
        <v>550</v>
      </c>
      <c r="H529" t="s">
        <v>39</v>
      </c>
      <c r="I529" t="s">
        <v>2091</v>
      </c>
    </row>
    <row r="530" spans="1:9" x14ac:dyDescent="0.25">
      <c r="A530" t="str">
        <f>"000160686"</f>
        <v>000160686</v>
      </c>
      <c r="B530" t="s">
        <v>2092</v>
      </c>
      <c r="D530" t="s">
        <v>2093</v>
      </c>
      <c r="E530" t="s">
        <v>2094</v>
      </c>
      <c r="G530" t="s">
        <v>740</v>
      </c>
      <c r="H530" t="s">
        <v>84</v>
      </c>
      <c r="I530" t="s">
        <v>2095</v>
      </c>
    </row>
    <row r="531" spans="1:9" x14ac:dyDescent="0.25">
      <c r="A531" t="str">
        <f>"000154609"</f>
        <v>000154609</v>
      </c>
      <c r="B531" t="s">
        <v>2096</v>
      </c>
      <c r="D531" t="s">
        <v>2097</v>
      </c>
      <c r="E531" t="s">
        <v>2098</v>
      </c>
      <c r="G531" t="s">
        <v>60</v>
      </c>
      <c r="H531" t="s">
        <v>28</v>
      </c>
      <c r="I531" t="s">
        <v>2099</v>
      </c>
    </row>
    <row r="532" spans="1:9" x14ac:dyDescent="0.25">
      <c r="A532" t="str">
        <f>"000935515"</f>
        <v>000935515</v>
      </c>
      <c r="B532" t="s">
        <v>2100</v>
      </c>
      <c r="D532" t="s">
        <v>2101</v>
      </c>
      <c r="E532" t="s">
        <v>2102</v>
      </c>
      <c r="G532" t="s">
        <v>64</v>
      </c>
      <c r="H532" t="s">
        <v>39</v>
      </c>
      <c r="I532" t="s">
        <v>2103</v>
      </c>
    </row>
    <row r="533" spans="1:9" x14ac:dyDescent="0.25">
      <c r="A533" t="str">
        <f>"000928764"</f>
        <v>000928764</v>
      </c>
      <c r="B533" t="s">
        <v>2104</v>
      </c>
      <c r="D533" t="s">
        <v>2105</v>
      </c>
      <c r="E533" t="s">
        <v>2106</v>
      </c>
      <c r="G533" t="s">
        <v>64</v>
      </c>
      <c r="H533" t="s">
        <v>39</v>
      </c>
      <c r="I533" t="s">
        <v>2107</v>
      </c>
    </row>
    <row r="534" spans="1:9" x14ac:dyDescent="0.25">
      <c r="A534" t="str">
        <f>"000217482"</f>
        <v>000217482</v>
      </c>
      <c r="B534" t="s">
        <v>2108</v>
      </c>
      <c r="D534" t="s">
        <v>2109</v>
      </c>
      <c r="G534" t="s">
        <v>2110</v>
      </c>
      <c r="I534" t="s">
        <v>2111</v>
      </c>
    </row>
    <row r="535" spans="1:9" x14ac:dyDescent="0.25">
      <c r="A535" t="str">
        <f>"000931516"</f>
        <v>000931516</v>
      </c>
      <c r="B535" t="s">
        <v>2112</v>
      </c>
      <c r="D535" t="s">
        <v>2113</v>
      </c>
      <c r="G535" t="s">
        <v>64</v>
      </c>
      <c r="H535" t="s">
        <v>39</v>
      </c>
      <c r="I535" t="s">
        <v>2114</v>
      </c>
    </row>
    <row r="536" spans="1:9" x14ac:dyDescent="0.25">
      <c r="A536" t="str">
        <f>"000885639"</f>
        <v>000885639</v>
      </c>
      <c r="B536" t="s">
        <v>2115</v>
      </c>
      <c r="D536" t="s">
        <v>2116</v>
      </c>
      <c r="G536" t="s">
        <v>550</v>
      </c>
      <c r="H536" t="s">
        <v>39</v>
      </c>
      <c r="I536" t="s">
        <v>2117</v>
      </c>
    </row>
    <row r="537" spans="1:9" x14ac:dyDescent="0.25">
      <c r="A537" t="str">
        <f>"000197099"</f>
        <v>000197099</v>
      </c>
      <c r="B537" t="s">
        <v>2118</v>
      </c>
      <c r="D537" t="s">
        <v>2119</v>
      </c>
      <c r="G537" t="s">
        <v>582</v>
      </c>
      <c r="H537" t="s">
        <v>540</v>
      </c>
      <c r="I537" t="s">
        <v>2120</v>
      </c>
    </row>
    <row r="538" spans="1:9" x14ac:dyDescent="0.25">
      <c r="A538" t="str">
        <f>"000220964"</f>
        <v>000220964</v>
      </c>
      <c r="B538" t="s">
        <v>2121</v>
      </c>
      <c r="D538" t="s">
        <v>2122</v>
      </c>
      <c r="G538" t="s">
        <v>253</v>
      </c>
      <c r="H538" t="s">
        <v>28</v>
      </c>
      <c r="I538" t="s">
        <v>2123</v>
      </c>
    </row>
    <row r="539" spans="1:9" x14ac:dyDescent="0.25">
      <c r="A539" t="str">
        <f>"000156919"</f>
        <v>000156919</v>
      </c>
      <c r="B539" t="s">
        <v>2124</v>
      </c>
      <c r="D539" t="s">
        <v>2125</v>
      </c>
      <c r="E539" t="s">
        <v>2126</v>
      </c>
      <c r="F539" t="s">
        <v>2127</v>
      </c>
      <c r="G539" t="s">
        <v>79</v>
      </c>
      <c r="H539" t="s">
        <v>51</v>
      </c>
      <c r="I539" t="s">
        <v>2128</v>
      </c>
    </row>
    <row r="540" spans="1:9" x14ac:dyDescent="0.25">
      <c r="A540" t="str">
        <f>"000919476"</f>
        <v>000919476</v>
      </c>
      <c r="B540" t="s">
        <v>2129</v>
      </c>
      <c r="D540" t="s">
        <v>2130</v>
      </c>
      <c r="G540" t="s">
        <v>1580</v>
      </c>
      <c r="H540" t="s">
        <v>39</v>
      </c>
      <c r="I540" t="s">
        <v>2131</v>
      </c>
    </row>
    <row r="541" spans="1:9" x14ac:dyDescent="0.25">
      <c r="A541" t="str">
        <f>"000602047"</f>
        <v>000602047</v>
      </c>
      <c r="B541" t="s">
        <v>2132</v>
      </c>
      <c r="D541" t="s">
        <v>2133</v>
      </c>
      <c r="G541" t="s">
        <v>507</v>
      </c>
      <c r="H541" t="s">
        <v>39</v>
      </c>
      <c r="I541" t="s">
        <v>2134</v>
      </c>
    </row>
    <row r="542" spans="1:9" x14ac:dyDescent="0.25">
      <c r="A542" t="str">
        <f>"000168608"</f>
        <v>000168608</v>
      </c>
      <c r="B542" t="s">
        <v>2135</v>
      </c>
      <c r="D542" t="s">
        <v>2136</v>
      </c>
      <c r="G542" t="s">
        <v>1211</v>
      </c>
      <c r="H542" t="s">
        <v>100</v>
      </c>
      <c r="I542" t="s">
        <v>2137</v>
      </c>
    </row>
    <row r="543" spans="1:9" x14ac:dyDescent="0.25">
      <c r="A543" t="str">
        <f>"000218096"</f>
        <v>000218096</v>
      </c>
      <c r="B543" t="s">
        <v>2138</v>
      </c>
      <c r="D543" t="s">
        <v>2139</v>
      </c>
      <c r="E543" t="s">
        <v>2140</v>
      </c>
      <c r="G543" t="s">
        <v>2141</v>
      </c>
      <c r="I543" t="s">
        <v>2142</v>
      </c>
    </row>
    <row r="544" spans="1:9" x14ac:dyDescent="0.25">
      <c r="A544" t="str">
        <f>"000161646"</f>
        <v>000161646</v>
      </c>
      <c r="B544" t="s">
        <v>2143</v>
      </c>
      <c r="D544" t="s">
        <v>2144</v>
      </c>
      <c r="G544" t="s">
        <v>2145</v>
      </c>
      <c r="H544" t="s">
        <v>614</v>
      </c>
      <c r="I544" t="s">
        <v>2146</v>
      </c>
    </row>
    <row r="545" spans="1:9" x14ac:dyDescent="0.25">
      <c r="A545" t="str">
        <f>"000908274"</f>
        <v>000908274</v>
      </c>
      <c r="B545" t="s">
        <v>2147</v>
      </c>
      <c r="D545" t="s">
        <v>2148</v>
      </c>
      <c r="G545" t="s">
        <v>50</v>
      </c>
      <c r="H545" t="s">
        <v>51</v>
      </c>
      <c r="I545" t="s">
        <v>2149</v>
      </c>
    </row>
    <row r="546" spans="1:9" x14ac:dyDescent="0.25">
      <c r="A546" t="str">
        <f>"000323097"</f>
        <v>000323097</v>
      </c>
      <c r="B546" t="s">
        <v>2150</v>
      </c>
      <c r="D546" t="s">
        <v>2151</v>
      </c>
      <c r="G546" t="s">
        <v>2152</v>
      </c>
      <c r="H546" t="s">
        <v>221</v>
      </c>
      <c r="I546" t="s">
        <v>2153</v>
      </c>
    </row>
    <row r="547" spans="1:9" x14ac:dyDescent="0.25">
      <c r="A547" t="str">
        <f>"000322266"</f>
        <v>000322266</v>
      </c>
      <c r="B547" t="s">
        <v>2154</v>
      </c>
      <c r="D547" t="s">
        <v>2155</v>
      </c>
      <c r="G547" t="s">
        <v>2156</v>
      </c>
      <c r="H547" t="s">
        <v>23</v>
      </c>
      <c r="I547" t="s">
        <v>2157</v>
      </c>
    </row>
    <row r="548" spans="1:9" x14ac:dyDescent="0.25">
      <c r="A548" t="str">
        <f>"000323191"</f>
        <v>000323191</v>
      </c>
      <c r="B548" t="s">
        <v>2158</v>
      </c>
      <c r="D548" t="s">
        <v>2159</v>
      </c>
      <c r="G548" t="s">
        <v>64</v>
      </c>
      <c r="H548" t="s">
        <v>39</v>
      </c>
      <c r="I548" t="s">
        <v>2160</v>
      </c>
    </row>
    <row r="549" spans="1:9" x14ac:dyDescent="0.25">
      <c r="A549" t="str">
        <f>"000324272"</f>
        <v>000324272</v>
      </c>
      <c r="B549" t="s">
        <v>2161</v>
      </c>
      <c r="D549" t="s">
        <v>2162</v>
      </c>
      <c r="E549" t="s">
        <v>2163</v>
      </c>
      <c r="G549" t="s">
        <v>170</v>
      </c>
      <c r="H549" t="s">
        <v>171</v>
      </c>
      <c r="I549" t="s">
        <v>2164</v>
      </c>
    </row>
    <row r="550" spans="1:9" x14ac:dyDescent="0.25">
      <c r="A550" t="str">
        <f>"000324278"</f>
        <v>000324278</v>
      </c>
      <c r="B550" t="s">
        <v>2165</v>
      </c>
      <c r="D550" t="s">
        <v>1085</v>
      </c>
      <c r="G550" t="s">
        <v>64</v>
      </c>
      <c r="H550" t="s">
        <v>39</v>
      </c>
      <c r="I550" t="s">
        <v>2166</v>
      </c>
    </row>
    <row r="551" spans="1:9" x14ac:dyDescent="0.25">
      <c r="A551" t="str">
        <f>"000322341"</f>
        <v>000322341</v>
      </c>
      <c r="B551" t="s">
        <v>2167</v>
      </c>
      <c r="D551" t="s">
        <v>2168</v>
      </c>
      <c r="G551" t="s">
        <v>64</v>
      </c>
      <c r="H551" t="s">
        <v>39</v>
      </c>
      <c r="I551" t="s">
        <v>2169</v>
      </c>
    </row>
    <row r="552" spans="1:9" x14ac:dyDescent="0.25">
      <c r="A552" t="str">
        <f>"000322344"</f>
        <v>000322344</v>
      </c>
      <c r="B552" t="s">
        <v>2170</v>
      </c>
      <c r="D552" t="s">
        <v>2171</v>
      </c>
      <c r="E552" t="s">
        <v>2172</v>
      </c>
      <c r="G552" t="s">
        <v>1714</v>
      </c>
      <c r="H552" t="s">
        <v>383</v>
      </c>
      <c r="I552" t="s">
        <v>2173</v>
      </c>
    </row>
    <row r="553" spans="1:9" x14ac:dyDescent="0.25">
      <c r="A553" t="str">
        <f>"000324119"</f>
        <v>000324119</v>
      </c>
      <c r="B553" t="s">
        <v>2174</v>
      </c>
      <c r="D553" t="s">
        <v>2175</v>
      </c>
      <c r="G553" t="s">
        <v>2176</v>
      </c>
      <c r="H553" t="s">
        <v>75</v>
      </c>
      <c r="I553" t="s">
        <v>2177</v>
      </c>
    </row>
    <row r="554" spans="1:9" x14ac:dyDescent="0.25">
      <c r="A554" t="str">
        <f>"000322392"</f>
        <v>000322392</v>
      </c>
      <c r="B554" t="s">
        <v>2178</v>
      </c>
      <c r="D554" t="s">
        <v>2179</v>
      </c>
      <c r="G554" t="s">
        <v>2180</v>
      </c>
      <c r="H554" t="s">
        <v>827</v>
      </c>
      <c r="I554" t="s">
        <v>2181</v>
      </c>
    </row>
    <row r="555" spans="1:9" x14ac:dyDescent="0.25">
      <c r="A555" t="str">
        <f>"000322975"</f>
        <v>000322975</v>
      </c>
      <c r="B555" t="s">
        <v>2182</v>
      </c>
      <c r="D555" t="s">
        <v>2183</v>
      </c>
      <c r="G555" t="s">
        <v>2184</v>
      </c>
      <c r="H555" t="s">
        <v>1234</v>
      </c>
      <c r="I555" t="s">
        <v>2185</v>
      </c>
    </row>
    <row r="556" spans="1:9" x14ac:dyDescent="0.25">
      <c r="A556" t="str">
        <f>"000324299"</f>
        <v>000324299</v>
      </c>
      <c r="B556" t="s">
        <v>2186</v>
      </c>
      <c r="D556" t="s">
        <v>2187</v>
      </c>
      <c r="G556" t="s">
        <v>170</v>
      </c>
      <c r="H556" t="s">
        <v>171</v>
      </c>
      <c r="I556" t="s">
        <v>2188</v>
      </c>
    </row>
    <row r="557" spans="1:9" x14ac:dyDescent="0.25">
      <c r="A557" t="str">
        <f>"000324319"</f>
        <v>000324319</v>
      </c>
      <c r="B557" t="s">
        <v>2189</v>
      </c>
      <c r="D557" t="s">
        <v>2190</v>
      </c>
      <c r="E557" t="s">
        <v>2191</v>
      </c>
      <c r="G557" t="s">
        <v>2192</v>
      </c>
      <c r="H557" t="s">
        <v>296</v>
      </c>
      <c r="I557" t="s">
        <v>2193</v>
      </c>
    </row>
    <row r="558" spans="1:9" x14ac:dyDescent="0.25">
      <c r="A558" t="str">
        <f>"000324327"</f>
        <v>000324327</v>
      </c>
      <c r="B558" t="s">
        <v>2194</v>
      </c>
      <c r="D558" t="s">
        <v>2195</v>
      </c>
      <c r="G558" t="s">
        <v>2196</v>
      </c>
      <c r="H558" t="s">
        <v>13</v>
      </c>
      <c r="I558" t="s">
        <v>2197</v>
      </c>
    </row>
    <row r="559" spans="1:9" x14ac:dyDescent="0.25">
      <c r="A559" t="str">
        <f>"000322492"</f>
        <v>000322492</v>
      </c>
      <c r="B559" t="s">
        <v>2198</v>
      </c>
      <c r="D559" t="s">
        <v>2199</v>
      </c>
      <c r="E559" t="s">
        <v>2200</v>
      </c>
      <c r="G559" t="s">
        <v>2201</v>
      </c>
      <c r="H559" t="s">
        <v>131</v>
      </c>
      <c r="I559" t="s">
        <v>2202</v>
      </c>
    </row>
    <row r="560" spans="1:9" x14ac:dyDescent="0.25">
      <c r="A560" t="str">
        <f>"000322899"</f>
        <v>000322899</v>
      </c>
      <c r="B560" t="s">
        <v>2203</v>
      </c>
      <c r="D560" t="s">
        <v>2204</v>
      </c>
      <c r="E560" t="s">
        <v>2205</v>
      </c>
      <c r="F560" t="s">
        <v>2206</v>
      </c>
      <c r="G560" t="s">
        <v>64</v>
      </c>
      <c r="H560" t="s">
        <v>39</v>
      </c>
      <c r="I560" t="s">
        <v>2207</v>
      </c>
    </row>
    <row r="561" spans="1:9" x14ac:dyDescent="0.25">
      <c r="A561" t="str">
        <f>"000324169"</f>
        <v>000324169</v>
      </c>
      <c r="B561" t="s">
        <v>2208</v>
      </c>
      <c r="D561" t="s">
        <v>2209</v>
      </c>
      <c r="E561" t="s">
        <v>2210</v>
      </c>
      <c r="G561" t="s">
        <v>591</v>
      </c>
      <c r="H561" t="s">
        <v>23</v>
      </c>
      <c r="I561" t="s">
        <v>2211</v>
      </c>
    </row>
    <row r="562" spans="1:9" x14ac:dyDescent="0.25">
      <c r="A562" t="str">
        <f>"000324223"</f>
        <v>000324223</v>
      </c>
      <c r="B562" t="s">
        <v>2212</v>
      </c>
      <c r="D562" t="s">
        <v>2213</v>
      </c>
      <c r="E562" t="s">
        <v>2214</v>
      </c>
      <c r="G562" t="s">
        <v>2215</v>
      </c>
      <c r="H562" t="s">
        <v>1833</v>
      </c>
      <c r="I562" t="s">
        <v>2216</v>
      </c>
    </row>
    <row r="563" spans="1:9" x14ac:dyDescent="0.25">
      <c r="A563" t="str">
        <f>"000197381"</f>
        <v>000197381</v>
      </c>
      <c r="B563" t="s">
        <v>2217</v>
      </c>
      <c r="D563" t="s">
        <v>2218</v>
      </c>
      <c r="E563" t="s">
        <v>2219</v>
      </c>
      <c r="G563" t="s">
        <v>220</v>
      </c>
      <c r="H563" t="s">
        <v>221</v>
      </c>
      <c r="I563" t="s">
        <v>2220</v>
      </c>
    </row>
    <row r="564" spans="1:9" x14ac:dyDescent="0.25">
      <c r="A564" t="str">
        <f>"000322591"</f>
        <v>000322591</v>
      </c>
      <c r="B564" t="s">
        <v>2221</v>
      </c>
      <c r="D564" t="s">
        <v>2222</v>
      </c>
      <c r="G564" t="s">
        <v>64</v>
      </c>
      <c r="H564" t="s">
        <v>39</v>
      </c>
      <c r="I564" t="s">
        <v>2223</v>
      </c>
    </row>
    <row r="565" spans="1:9" x14ac:dyDescent="0.25">
      <c r="A565" t="str">
        <f>"000322598"</f>
        <v>000322598</v>
      </c>
      <c r="B565" t="s">
        <v>2224</v>
      </c>
      <c r="D565" t="s">
        <v>2225</v>
      </c>
      <c r="E565" t="s">
        <v>2226</v>
      </c>
      <c r="G565" t="s">
        <v>1122</v>
      </c>
      <c r="H565" t="s">
        <v>23</v>
      </c>
      <c r="I565" t="s">
        <v>2227</v>
      </c>
    </row>
    <row r="566" spans="1:9" x14ac:dyDescent="0.25">
      <c r="A566" t="str">
        <f>"000324103"</f>
        <v>000324103</v>
      </c>
      <c r="B566" t="s">
        <v>2228</v>
      </c>
      <c r="D566" t="s">
        <v>2229</v>
      </c>
      <c r="G566" t="s">
        <v>2230</v>
      </c>
      <c r="H566" t="s">
        <v>39</v>
      </c>
      <c r="I566" t="s">
        <v>2231</v>
      </c>
    </row>
    <row r="567" spans="1:9" x14ac:dyDescent="0.25">
      <c r="A567" t="str">
        <f>"000324350"</f>
        <v>000324350</v>
      </c>
      <c r="B567" t="s">
        <v>2232</v>
      </c>
      <c r="D567" t="s">
        <v>2233</v>
      </c>
      <c r="G567" t="s">
        <v>165</v>
      </c>
      <c r="H567" t="s">
        <v>166</v>
      </c>
      <c r="I567" t="s">
        <v>2234</v>
      </c>
    </row>
    <row r="568" spans="1:9" x14ac:dyDescent="0.25">
      <c r="A568" t="str">
        <f>"000322451"</f>
        <v>000322451</v>
      </c>
      <c r="B568" t="s">
        <v>2235</v>
      </c>
      <c r="D568" t="s">
        <v>2236</v>
      </c>
      <c r="G568" t="s">
        <v>291</v>
      </c>
      <c r="H568" t="s">
        <v>182</v>
      </c>
      <c r="I568" t="s">
        <v>2237</v>
      </c>
    </row>
    <row r="569" spans="1:9" x14ac:dyDescent="0.25">
      <c r="A569" t="str">
        <f>"000225979"</f>
        <v>000225979</v>
      </c>
      <c r="B569" t="s">
        <v>2238</v>
      </c>
      <c r="D569" t="s">
        <v>2239</v>
      </c>
      <c r="G569" t="s">
        <v>165</v>
      </c>
      <c r="H569" t="s">
        <v>166</v>
      </c>
      <c r="I569" t="s">
        <v>2240</v>
      </c>
    </row>
    <row r="570" spans="1:9" x14ac:dyDescent="0.25">
      <c r="A570" t="str">
        <f>"000208768"</f>
        <v>000208768</v>
      </c>
      <c r="B570" t="s">
        <v>2241</v>
      </c>
      <c r="D570" t="s">
        <v>2242</v>
      </c>
      <c r="E570" t="s">
        <v>2243</v>
      </c>
      <c r="G570" t="s">
        <v>130</v>
      </c>
      <c r="H570" t="s">
        <v>131</v>
      </c>
      <c r="I570" t="s">
        <v>2244</v>
      </c>
    </row>
    <row r="571" spans="1:9" x14ac:dyDescent="0.25">
      <c r="A571" t="str">
        <f>"000265808"</f>
        <v>000265808</v>
      </c>
      <c r="B571" t="s">
        <v>2245</v>
      </c>
      <c r="D571" t="s">
        <v>2246</v>
      </c>
      <c r="G571" t="s">
        <v>2247</v>
      </c>
      <c r="I571">
        <v>8340575</v>
      </c>
    </row>
    <row r="572" spans="1:9" x14ac:dyDescent="0.25">
      <c r="A572" t="str">
        <f>"000235148"</f>
        <v>000235148</v>
      </c>
      <c r="B572" t="s">
        <v>2248</v>
      </c>
      <c r="D572" t="s">
        <v>2249</v>
      </c>
      <c r="E572" t="s">
        <v>2250</v>
      </c>
      <c r="G572" t="s">
        <v>2251</v>
      </c>
      <c r="H572" t="s">
        <v>827</v>
      </c>
      <c r="I572" t="s">
        <v>2252</v>
      </c>
    </row>
    <row r="573" spans="1:9" x14ac:dyDescent="0.25">
      <c r="A573" t="str">
        <f>"000238052"</f>
        <v>000238052</v>
      </c>
      <c r="B573" t="s">
        <v>2253</v>
      </c>
      <c r="D573" t="s">
        <v>2254</v>
      </c>
      <c r="G573" t="s">
        <v>64</v>
      </c>
      <c r="H573" t="s">
        <v>39</v>
      </c>
      <c r="I573" t="s">
        <v>2255</v>
      </c>
    </row>
    <row r="574" spans="1:9" x14ac:dyDescent="0.25">
      <c r="A574" t="str">
        <f>"000298829"</f>
        <v>000298829</v>
      </c>
      <c r="B574" t="s">
        <v>2256</v>
      </c>
      <c r="D574" t="s">
        <v>2257</v>
      </c>
      <c r="E574" t="s">
        <v>2258</v>
      </c>
      <c r="G574" t="s">
        <v>2259</v>
      </c>
      <c r="I574">
        <v>518000</v>
      </c>
    </row>
    <row r="575" spans="1:9" x14ac:dyDescent="0.25">
      <c r="A575" t="str">
        <f>"000351489"</f>
        <v>000351489</v>
      </c>
      <c r="B575" t="s">
        <v>2260</v>
      </c>
      <c r="D575" t="s">
        <v>2261</v>
      </c>
      <c r="G575" t="s">
        <v>69</v>
      </c>
      <c r="H575" t="s">
        <v>70</v>
      </c>
      <c r="I575" t="s">
        <v>2262</v>
      </c>
    </row>
    <row r="576" spans="1:9" x14ac:dyDescent="0.25">
      <c r="A576" t="str">
        <f>"000283977"</f>
        <v>000283977</v>
      </c>
      <c r="B576" t="s">
        <v>2263</v>
      </c>
      <c r="D576" t="s">
        <v>2264</v>
      </c>
      <c r="E576" t="s">
        <v>2265</v>
      </c>
      <c r="F576" t="s">
        <v>2266</v>
      </c>
      <c r="G576" t="s">
        <v>130</v>
      </c>
      <c r="H576" t="s">
        <v>131</v>
      </c>
      <c r="I576" t="s">
        <v>2267</v>
      </c>
    </row>
    <row r="577" spans="1:9" x14ac:dyDescent="0.25">
      <c r="A577" t="str">
        <f>"000301361"</f>
        <v>000301361</v>
      </c>
      <c r="B577" t="s">
        <v>2268</v>
      </c>
      <c r="D577" t="s">
        <v>2269</v>
      </c>
      <c r="G577" t="s">
        <v>2270</v>
      </c>
      <c r="H577" t="s">
        <v>182</v>
      </c>
      <c r="I577" t="s">
        <v>2271</v>
      </c>
    </row>
    <row r="578" spans="1:9" x14ac:dyDescent="0.25">
      <c r="A578" t="str">
        <f>"000365035"</f>
        <v>000365035</v>
      </c>
      <c r="B578" t="s">
        <v>2272</v>
      </c>
      <c r="D578" t="s">
        <v>2273</v>
      </c>
      <c r="G578" t="s">
        <v>1003</v>
      </c>
      <c r="H578" t="s">
        <v>188</v>
      </c>
      <c r="I578" t="s">
        <v>2274</v>
      </c>
    </row>
    <row r="579" spans="1:9" x14ac:dyDescent="0.25">
      <c r="A579" t="str">
        <f>"000373313"</f>
        <v>000373313</v>
      </c>
      <c r="B579" t="s">
        <v>2275</v>
      </c>
      <c r="D579" t="s">
        <v>2276</v>
      </c>
      <c r="E579" t="s">
        <v>2277</v>
      </c>
      <c r="G579" t="s">
        <v>2278</v>
      </c>
      <c r="I579" t="s">
        <v>2279</v>
      </c>
    </row>
    <row r="580" spans="1:9" x14ac:dyDescent="0.25">
      <c r="A580" t="str">
        <f>"000382632"</f>
        <v>000382632</v>
      </c>
      <c r="B580" t="s">
        <v>2280</v>
      </c>
      <c r="D580" t="s">
        <v>2281</v>
      </c>
      <c r="G580" t="s">
        <v>291</v>
      </c>
      <c r="H580" t="s">
        <v>182</v>
      </c>
      <c r="I580" t="s">
        <v>2282</v>
      </c>
    </row>
    <row r="581" spans="1:9" x14ac:dyDescent="0.25">
      <c r="A581" t="str">
        <f>"000380791"</f>
        <v>000380791</v>
      </c>
      <c r="B581" t="s">
        <v>2283</v>
      </c>
      <c r="D581" t="s">
        <v>2284</v>
      </c>
      <c r="E581" t="s">
        <v>2285</v>
      </c>
      <c r="F581" t="s">
        <v>2286</v>
      </c>
      <c r="G581" t="s">
        <v>17</v>
      </c>
      <c r="H581" t="s">
        <v>13</v>
      </c>
      <c r="I581" t="s">
        <v>2287</v>
      </c>
    </row>
    <row r="582" spans="1:9" x14ac:dyDescent="0.25">
      <c r="A582" t="str">
        <f>"001041615"</f>
        <v>001041615</v>
      </c>
      <c r="B582" t="s">
        <v>2288</v>
      </c>
      <c r="D582" t="s">
        <v>2289</v>
      </c>
      <c r="G582" t="s">
        <v>2290</v>
      </c>
      <c r="H582" t="s">
        <v>28</v>
      </c>
      <c r="I582" t="s">
        <v>2291</v>
      </c>
    </row>
    <row r="583" spans="1:9" x14ac:dyDescent="0.25">
      <c r="A583" t="str">
        <f>"000392958"</f>
        <v>000392958</v>
      </c>
      <c r="B583" t="s">
        <v>2292</v>
      </c>
      <c r="D583" t="s">
        <v>2293</v>
      </c>
      <c r="G583" t="s">
        <v>653</v>
      </c>
      <c r="H583" t="s">
        <v>51</v>
      </c>
      <c r="I583" t="s">
        <v>2294</v>
      </c>
    </row>
    <row r="584" spans="1:9" x14ac:dyDescent="0.25">
      <c r="A584" t="str">
        <f>"000397200"</f>
        <v>000397200</v>
      </c>
      <c r="B584" t="s">
        <v>2295</v>
      </c>
      <c r="D584" t="s">
        <v>2296</v>
      </c>
      <c r="G584" t="s">
        <v>64</v>
      </c>
      <c r="H584" t="s">
        <v>39</v>
      </c>
      <c r="I584" t="s">
        <v>2297</v>
      </c>
    </row>
    <row r="585" spans="1:9" x14ac:dyDescent="0.25">
      <c r="A585" t="str">
        <f>"000409234"</f>
        <v>000409234</v>
      </c>
      <c r="B585" t="s">
        <v>2298</v>
      </c>
      <c r="D585" t="s">
        <v>2299</v>
      </c>
      <c r="G585" t="s">
        <v>1493</v>
      </c>
      <c r="H585" t="s">
        <v>39</v>
      </c>
      <c r="I585" t="s">
        <v>2300</v>
      </c>
    </row>
    <row r="586" spans="1:9" x14ac:dyDescent="0.25">
      <c r="A586" t="str">
        <f>"000389826"</f>
        <v>000389826</v>
      </c>
      <c r="B586" t="s">
        <v>2301</v>
      </c>
      <c r="D586" t="s">
        <v>2302</v>
      </c>
      <c r="G586" t="s">
        <v>64</v>
      </c>
      <c r="H586" t="s">
        <v>39</v>
      </c>
      <c r="I586" t="s">
        <v>2303</v>
      </c>
    </row>
    <row r="587" spans="1:9" x14ac:dyDescent="0.25">
      <c r="A587" t="str">
        <f>"000390456"</f>
        <v>000390456</v>
      </c>
      <c r="B587" t="s">
        <v>2304</v>
      </c>
      <c r="D587" t="s">
        <v>2305</v>
      </c>
      <c r="E587" t="s">
        <v>2306</v>
      </c>
      <c r="F587" t="s">
        <v>2307</v>
      </c>
      <c r="G587" t="s">
        <v>2308</v>
      </c>
      <c r="I587" t="s">
        <v>2309</v>
      </c>
    </row>
    <row r="588" spans="1:9" x14ac:dyDescent="0.25">
      <c r="A588" t="str">
        <f>"000402526"</f>
        <v>000402526</v>
      </c>
      <c r="B588" t="s">
        <v>2310</v>
      </c>
      <c r="D588" t="s">
        <v>2311</v>
      </c>
      <c r="E588" t="s">
        <v>2312</v>
      </c>
      <c r="G588" t="s">
        <v>2068</v>
      </c>
      <c r="H588" t="s">
        <v>182</v>
      </c>
      <c r="I588" t="s">
        <v>2313</v>
      </c>
    </row>
    <row r="589" spans="1:9" x14ac:dyDescent="0.25">
      <c r="A589" t="str">
        <f>"000425862"</f>
        <v>000425862</v>
      </c>
      <c r="B589" t="s">
        <v>2314</v>
      </c>
      <c r="D589" t="s">
        <v>2315</v>
      </c>
      <c r="G589" t="s">
        <v>64</v>
      </c>
      <c r="H589" t="s">
        <v>39</v>
      </c>
      <c r="I589" t="s">
        <v>2316</v>
      </c>
    </row>
    <row r="590" spans="1:9" x14ac:dyDescent="0.25">
      <c r="A590" t="str">
        <f>"000445554"</f>
        <v>000445554</v>
      </c>
      <c r="B590" t="s">
        <v>2317</v>
      </c>
      <c r="D590" t="s">
        <v>2318</v>
      </c>
      <c r="G590" t="s">
        <v>64</v>
      </c>
      <c r="H590" t="s">
        <v>39</v>
      </c>
      <c r="I590" t="s">
        <v>2319</v>
      </c>
    </row>
    <row r="591" spans="1:9" x14ac:dyDescent="0.25">
      <c r="A591" t="str">
        <f>"000483551"</f>
        <v>000483551</v>
      </c>
      <c r="B591" t="s">
        <v>2320</v>
      </c>
      <c r="D591" t="s">
        <v>2321</v>
      </c>
      <c r="G591" t="s">
        <v>2322</v>
      </c>
      <c r="H591" t="s">
        <v>75</v>
      </c>
      <c r="I591" t="s">
        <v>2323</v>
      </c>
    </row>
    <row r="592" spans="1:9" x14ac:dyDescent="0.25">
      <c r="A592" t="str">
        <f>"000634243"</f>
        <v>000634243</v>
      </c>
      <c r="B592" t="s">
        <v>2324</v>
      </c>
      <c r="D592" t="s">
        <v>2325</v>
      </c>
      <c r="G592" t="s">
        <v>64</v>
      </c>
      <c r="H592" t="s">
        <v>39</v>
      </c>
      <c r="I592" t="s">
        <v>2326</v>
      </c>
    </row>
    <row r="593" spans="1:9" x14ac:dyDescent="0.25">
      <c r="A593" t="str">
        <f>"000502412"</f>
        <v>000502412</v>
      </c>
      <c r="B593" t="s">
        <v>2327</v>
      </c>
      <c r="D593" t="s">
        <v>2328</v>
      </c>
      <c r="G593" t="s">
        <v>64</v>
      </c>
      <c r="H593" t="s">
        <v>39</v>
      </c>
      <c r="I593" t="s">
        <v>2329</v>
      </c>
    </row>
    <row r="594" spans="1:9" x14ac:dyDescent="0.25">
      <c r="A594" t="str">
        <f>"000478390"</f>
        <v>000478390</v>
      </c>
      <c r="B594" t="s">
        <v>2330</v>
      </c>
      <c r="D594" t="s">
        <v>2331</v>
      </c>
      <c r="G594" t="s">
        <v>2332</v>
      </c>
      <c r="H594" t="s">
        <v>477</v>
      </c>
      <c r="I594" t="s">
        <v>2333</v>
      </c>
    </row>
    <row r="595" spans="1:9" x14ac:dyDescent="0.25">
      <c r="A595" t="str">
        <f>"000631276"</f>
        <v>000631276</v>
      </c>
      <c r="B595" t="s">
        <v>2334</v>
      </c>
      <c r="D595" t="s">
        <v>2335</v>
      </c>
      <c r="E595" t="s">
        <v>2336</v>
      </c>
      <c r="F595" t="s">
        <v>2337</v>
      </c>
      <c r="G595" t="s">
        <v>2338</v>
      </c>
      <c r="H595" t="s">
        <v>1012</v>
      </c>
      <c r="I595" t="s">
        <v>2339</v>
      </c>
    </row>
    <row r="596" spans="1:9" x14ac:dyDescent="0.25">
      <c r="A596" t="str">
        <f>"000482474"</f>
        <v>000482474</v>
      </c>
      <c r="B596" t="s">
        <v>2340</v>
      </c>
      <c r="D596" t="s">
        <v>2341</v>
      </c>
      <c r="G596" t="s">
        <v>2342</v>
      </c>
      <c r="H596" t="s">
        <v>858</v>
      </c>
      <c r="I596" t="s">
        <v>2343</v>
      </c>
    </row>
    <row r="597" spans="1:9" x14ac:dyDescent="0.25">
      <c r="A597" t="str">
        <f>"000681966"</f>
        <v>000681966</v>
      </c>
      <c r="B597" t="s">
        <v>2344</v>
      </c>
      <c r="D597" t="s">
        <v>2345</v>
      </c>
      <c r="G597" t="s">
        <v>136</v>
      </c>
      <c r="H597" t="s">
        <v>28</v>
      </c>
      <c r="I597" t="s">
        <v>2346</v>
      </c>
    </row>
    <row r="598" spans="1:9" x14ac:dyDescent="0.25">
      <c r="A598" t="str">
        <f>"000484242"</f>
        <v>000484242</v>
      </c>
      <c r="B598" t="s">
        <v>2347</v>
      </c>
      <c r="D598" t="s">
        <v>2348</v>
      </c>
      <c r="G598" t="s">
        <v>2349</v>
      </c>
      <c r="H598" t="s">
        <v>2350</v>
      </c>
      <c r="I598" t="s">
        <v>2351</v>
      </c>
    </row>
    <row r="599" spans="1:9" x14ac:dyDescent="0.25">
      <c r="A599" t="str">
        <f>"000661932"</f>
        <v>000661932</v>
      </c>
      <c r="B599" t="s">
        <v>2352</v>
      </c>
      <c r="D599" t="s">
        <v>889</v>
      </c>
      <c r="G599" t="s">
        <v>890</v>
      </c>
      <c r="H599" t="s">
        <v>28</v>
      </c>
      <c r="I599" t="s">
        <v>2353</v>
      </c>
    </row>
    <row r="600" spans="1:9" x14ac:dyDescent="0.25">
      <c r="A600" t="str">
        <f>"000707655"</f>
        <v>000707655</v>
      </c>
      <c r="B600" t="s">
        <v>2354</v>
      </c>
      <c r="D600" t="s">
        <v>2355</v>
      </c>
      <c r="G600" t="s">
        <v>64</v>
      </c>
      <c r="H600" t="s">
        <v>39</v>
      </c>
      <c r="I600" t="s">
        <v>2356</v>
      </c>
    </row>
    <row r="601" spans="1:9" x14ac:dyDescent="0.25">
      <c r="A601" t="str">
        <f>"000709443"</f>
        <v>000709443</v>
      </c>
      <c r="B601" t="s">
        <v>2357</v>
      </c>
      <c r="D601" t="s">
        <v>2358</v>
      </c>
      <c r="E601" t="s">
        <v>2359</v>
      </c>
      <c r="G601" t="s">
        <v>220</v>
      </c>
      <c r="H601" t="s">
        <v>221</v>
      </c>
      <c r="I601" t="s">
        <v>2360</v>
      </c>
    </row>
    <row r="602" spans="1:9" x14ac:dyDescent="0.25">
      <c r="A602" t="str">
        <f>"000697139"</f>
        <v>000697139</v>
      </c>
      <c r="B602" t="s">
        <v>2361</v>
      </c>
      <c r="D602" t="s">
        <v>2362</v>
      </c>
      <c r="G602" t="s">
        <v>64</v>
      </c>
      <c r="H602" t="s">
        <v>39</v>
      </c>
      <c r="I602" t="s">
        <v>2363</v>
      </c>
    </row>
    <row r="603" spans="1:9" x14ac:dyDescent="0.25">
      <c r="A603" t="str">
        <f>"000704355"</f>
        <v>000704355</v>
      </c>
      <c r="B603" t="s">
        <v>2364</v>
      </c>
      <c r="D603" t="s">
        <v>2365</v>
      </c>
      <c r="E603" t="s">
        <v>2366</v>
      </c>
      <c r="G603" t="s">
        <v>130</v>
      </c>
      <c r="H603" t="s">
        <v>131</v>
      </c>
      <c r="I603" t="s">
        <v>2367</v>
      </c>
    </row>
    <row r="604" spans="1:9" x14ac:dyDescent="0.25">
      <c r="A604" t="str">
        <f>"000695427"</f>
        <v>000695427</v>
      </c>
      <c r="B604" t="s">
        <v>2368</v>
      </c>
      <c r="D604" t="s">
        <v>2369</v>
      </c>
      <c r="G604" t="s">
        <v>1567</v>
      </c>
      <c r="H604" t="s">
        <v>1568</v>
      </c>
      <c r="I604" t="s">
        <v>2370</v>
      </c>
    </row>
    <row r="605" spans="1:9" x14ac:dyDescent="0.25">
      <c r="A605" t="str">
        <f>"000702770"</f>
        <v>000702770</v>
      </c>
      <c r="B605" t="s">
        <v>2371</v>
      </c>
      <c r="D605" t="s">
        <v>2372</v>
      </c>
      <c r="G605" t="s">
        <v>64</v>
      </c>
      <c r="H605" t="s">
        <v>39</v>
      </c>
      <c r="I605" t="s">
        <v>2373</v>
      </c>
    </row>
    <row r="606" spans="1:9" x14ac:dyDescent="0.25">
      <c r="A606" t="str">
        <f>"000698646"</f>
        <v>000698646</v>
      </c>
      <c r="B606" t="s">
        <v>2374</v>
      </c>
      <c r="D606" t="s">
        <v>2375</v>
      </c>
      <c r="G606" t="s">
        <v>38</v>
      </c>
      <c r="H606" t="s">
        <v>39</v>
      </c>
      <c r="I606" t="s">
        <v>2376</v>
      </c>
    </row>
    <row r="607" spans="1:9" x14ac:dyDescent="0.25">
      <c r="A607" t="str">
        <f>"000705357"</f>
        <v>000705357</v>
      </c>
      <c r="B607" t="s">
        <v>2377</v>
      </c>
      <c r="D607" t="s">
        <v>2378</v>
      </c>
      <c r="E607" t="s">
        <v>2379</v>
      </c>
      <c r="G607" t="s">
        <v>64</v>
      </c>
      <c r="H607" t="s">
        <v>39</v>
      </c>
      <c r="I607" t="s">
        <v>2380</v>
      </c>
    </row>
    <row r="608" spans="1:9" x14ac:dyDescent="0.25">
      <c r="A608" t="str">
        <f>"000741522"</f>
        <v>000741522</v>
      </c>
      <c r="B608" t="s">
        <v>2381</v>
      </c>
      <c r="D608" t="s">
        <v>2382</v>
      </c>
      <c r="G608" t="s">
        <v>391</v>
      </c>
      <c r="H608" t="s">
        <v>296</v>
      </c>
      <c r="I608" t="s">
        <v>2383</v>
      </c>
    </row>
    <row r="609" spans="1:9" x14ac:dyDescent="0.25">
      <c r="A609" t="str">
        <f>"000744462"</f>
        <v>000744462</v>
      </c>
      <c r="B609" t="s">
        <v>2384</v>
      </c>
      <c r="D609" t="s">
        <v>2385</v>
      </c>
      <c r="G609" t="s">
        <v>60</v>
      </c>
      <c r="H609" t="s">
        <v>28</v>
      </c>
      <c r="I609" t="s">
        <v>2386</v>
      </c>
    </row>
    <row r="610" spans="1:9" x14ac:dyDescent="0.25">
      <c r="A610" t="str">
        <f>"000738192"</f>
        <v>000738192</v>
      </c>
      <c r="B610" t="s">
        <v>2387</v>
      </c>
      <c r="D610" t="s">
        <v>2388</v>
      </c>
      <c r="G610" t="s">
        <v>1070</v>
      </c>
      <c r="H610" t="s">
        <v>84</v>
      </c>
      <c r="I610" t="s">
        <v>2389</v>
      </c>
    </row>
    <row r="611" spans="1:9" x14ac:dyDescent="0.25">
      <c r="A611" t="str">
        <f>"000743190"</f>
        <v>000743190</v>
      </c>
      <c r="B611" t="s">
        <v>2390</v>
      </c>
      <c r="D611" t="s">
        <v>2391</v>
      </c>
      <c r="G611" t="s">
        <v>64</v>
      </c>
      <c r="H611" t="s">
        <v>39</v>
      </c>
      <c r="I611" t="s">
        <v>2392</v>
      </c>
    </row>
    <row r="612" spans="1:9" x14ac:dyDescent="0.25">
      <c r="A612" t="str">
        <f>"000744538"</f>
        <v>000744538</v>
      </c>
      <c r="B612" t="s">
        <v>2393</v>
      </c>
      <c r="D612" t="s">
        <v>2394</v>
      </c>
      <c r="G612" t="s">
        <v>295</v>
      </c>
      <c r="H612" t="s">
        <v>296</v>
      </c>
      <c r="I612" t="s">
        <v>2395</v>
      </c>
    </row>
    <row r="613" spans="1:9" x14ac:dyDescent="0.25">
      <c r="A613" t="str">
        <f>"000750992"</f>
        <v>000750992</v>
      </c>
      <c r="B613" t="s">
        <v>2396</v>
      </c>
      <c r="D613" t="s">
        <v>2397</v>
      </c>
      <c r="G613" t="s">
        <v>64</v>
      </c>
      <c r="H613" t="s">
        <v>39</v>
      </c>
      <c r="I613" t="s">
        <v>2398</v>
      </c>
    </row>
    <row r="614" spans="1:9" x14ac:dyDescent="0.25">
      <c r="A614" t="str">
        <f>"000758134"</f>
        <v>000758134</v>
      </c>
      <c r="B614" t="s">
        <v>2399</v>
      </c>
      <c r="D614" t="s">
        <v>2400</v>
      </c>
      <c r="G614" t="s">
        <v>2401</v>
      </c>
      <c r="H614" t="s">
        <v>131</v>
      </c>
      <c r="I614" t="s">
        <v>2402</v>
      </c>
    </row>
    <row r="615" spans="1:9" x14ac:dyDescent="0.25">
      <c r="A615" t="str">
        <f>"000749163"</f>
        <v>000749163</v>
      </c>
      <c r="B615" t="s">
        <v>2403</v>
      </c>
      <c r="D615" t="s">
        <v>2404</v>
      </c>
      <c r="G615" t="s">
        <v>2405</v>
      </c>
      <c r="I615" t="s">
        <v>2406</v>
      </c>
    </row>
    <row r="616" spans="1:9" x14ac:dyDescent="0.25">
      <c r="A616" t="str">
        <f>"000778692"</f>
        <v>000778692</v>
      </c>
      <c r="B616" t="s">
        <v>2407</v>
      </c>
      <c r="D616" t="s">
        <v>2408</v>
      </c>
      <c r="G616" t="s">
        <v>214</v>
      </c>
      <c r="H616" t="s">
        <v>120</v>
      </c>
      <c r="I616" t="s">
        <v>2409</v>
      </c>
    </row>
    <row r="617" spans="1:9" x14ac:dyDescent="0.25">
      <c r="A617" t="str">
        <f>"000787727"</f>
        <v>000787727</v>
      </c>
      <c r="B617" t="s">
        <v>2410</v>
      </c>
      <c r="D617" t="s">
        <v>2411</v>
      </c>
      <c r="E617" t="s">
        <v>2412</v>
      </c>
      <c r="G617" t="s">
        <v>878</v>
      </c>
      <c r="H617" t="s">
        <v>879</v>
      </c>
      <c r="I617" t="s">
        <v>2413</v>
      </c>
    </row>
    <row r="618" spans="1:9" x14ac:dyDescent="0.25">
      <c r="A618" t="str">
        <f>"000776440"</f>
        <v>000776440</v>
      </c>
      <c r="B618" t="s">
        <v>2414</v>
      </c>
      <c r="D618" t="s">
        <v>2415</v>
      </c>
      <c r="G618" t="s">
        <v>2416</v>
      </c>
      <c r="H618" t="s">
        <v>13</v>
      </c>
      <c r="I618" t="s">
        <v>2417</v>
      </c>
    </row>
    <row r="619" spans="1:9" x14ac:dyDescent="0.25">
      <c r="A619" t="str">
        <f>"000817566"</f>
        <v>000817566</v>
      </c>
      <c r="B619" t="s">
        <v>2418</v>
      </c>
      <c r="D619" t="s">
        <v>2419</v>
      </c>
      <c r="G619" t="s">
        <v>2420</v>
      </c>
      <c r="H619" t="s">
        <v>2421</v>
      </c>
      <c r="I619" t="s">
        <v>2422</v>
      </c>
    </row>
    <row r="620" spans="1:9" x14ac:dyDescent="0.25">
      <c r="A620" t="str">
        <f>"000884408"</f>
        <v>000884408</v>
      </c>
      <c r="B620" t="s">
        <v>2423</v>
      </c>
      <c r="D620" t="s">
        <v>2424</v>
      </c>
      <c r="G620" t="s">
        <v>64</v>
      </c>
      <c r="H620" t="s">
        <v>39</v>
      </c>
      <c r="I620" t="s">
        <v>2425</v>
      </c>
    </row>
    <row r="621" spans="1:9" x14ac:dyDescent="0.25">
      <c r="A621" t="str">
        <f>"000897843"</f>
        <v>000897843</v>
      </c>
      <c r="B621" t="s">
        <v>2426</v>
      </c>
      <c r="D621" t="s">
        <v>2427</v>
      </c>
      <c r="G621" t="s">
        <v>64</v>
      </c>
      <c r="H621" t="s">
        <v>39</v>
      </c>
      <c r="I621" t="s">
        <v>2428</v>
      </c>
    </row>
    <row r="622" spans="1:9" x14ac:dyDescent="0.25">
      <c r="A622" t="str">
        <f>"000915206"</f>
        <v>000915206</v>
      </c>
      <c r="B622" t="s">
        <v>2429</v>
      </c>
      <c r="D622" t="s">
        <v>2430</v>
      </c>
      <c r="G622" t="s">
        <v>890</v>
      </c>
      <c r="H622" t="s">
        <v>39</v>
      </c>
      <c r="I622" t="s">
        <v>2431</v>
      </c>
    </row>
    <row r="623" spans="1:9" x14ac:dyDescent="0.25">
      <c r="A623" t="str">
        <f>"000934064"</f>
        <v>000934064</v>
      </c>
      <c r="B623" t="s">
        <v>2432</v>
      </c>
      <c r="D623" t="s">
        <v>2433</v>
      </c>
      <c r="G623" t="s">
        <v>64</v>
      </c>
      <c r="H623" t="s">
        <v>39</v>
      </c>
      <c r="I623" t="s">
        <v>2434</v>
      </c>
    </row>
    <row r="624" spans="1:9" x14ac:dyDescent="0.25">
      <c r="A624" t="str">
        <f>"000918610"</f>
        <v>000918610</v>
      </c>
      <c r="B624" t="s">
        <v>2435</v>
      </c>
      <c r="D624" t="s">
        <v>2436</v>
      </c>
      <c r="G624" t="s">
        <v>2437</v>
      </c>
      <c r="H624" t="s">
        <v>39</v>
      </c>
      <c r="I624" t="s">
        <v>2438</v>
      </c>
    </row>
    <row r="625" spans="1:9" x14ac:dyDescent="0.25">
      <c r="A625" t="str">
        <f>"001044240"</f>
        <v>001044240</v>
      </c>
      <c r="B625" t="s">
        <v>2439</v>
      </c>
      <c r="D625" t="s">
        <v>2440</v>
      </c>
      <c r="G625" t="s">
        <v>965</v>
      </c>
      <c r="H625" t="s">
        <v>39</v>
      </c>
      <c r="I625" t="s">
        <v>2441</v>
      </c>
    </row>
    <row r="626" spans="1:9" x14ac:dyDescent="0.25">
      <c r="A626" t="str">
        <f>"000988139"</f>
        <v>000988139</v>
      </c>
      <c r="B626" t="s">
        <v>2442</v>
      </c>
      <c r="D626" t="s">
        <v>2443</v>
      </c>
      <c r="G626" t="s">
        <v>2444</v>
      </c>
      <c r="H626" t="s">
        <v>263</v>
      </c>
      <c r="I626" t="s">
        <v>2445</v>
      </c>
    </row>
    <row r="627" spans="1:9" x14ac:dyDescent="0.25">
      <c r="A627" t="str">
        <f>"000988382"</f>
        <v>000988382</v>
      </c>
      <c r="B627" t="s">
        <v>2446</v>
      </c>
      <c r="D627" t="s">
        <v>2447</v>
      </c>
      <c r="E627" t="s">
        <v>2448</v>
      </c>
      <c r="G627" t="s">
        <v>2449</v>
      </c>
      <c r="H627" t="s">
        <v>39</v>
      </c>
      <c r="I627" t="s">
        <v>2450</v>
      </c>
    </row>
    <row r="628" spans="1:9" x14ac:dyDescent="0.25">
      <c r="A628" t="str">
        <f>"001027895"</f>
        <v>001027895</v>
      </c>
      <c r="B628" t="s">
        <v>2451</v>
      </c>
      <c r="D628" t="s">
        <v>2452</v>
      </c>
      <c r="G628" t="s">
        <v>64</v>
      </c>
      <c r="H628" t="s">
        <v>39</v>
      </c>
      <c r="I628" t="s">
        <v>2453</v>
      </c>
    </row>
    <row r="629" spans="1:9" x14ac:dyDescent="0.25">
      <c r="A629" t="str">
        <f>"001006518"</f>
        <v>001006518</v>
      </c>
      <c r="B629" t="s">
        <v>2454</v>
      </c>
      <c r="D629" t="s">
        <v>2455</v>
      </c>
      <c r="G629" t="s">
        <v>291</v>
      </c>
      <c r="H629" t="s">
        <v>182</v>
      </c>
      <c r="I629" t="s">
        <v>2456</v>
      </c>
    </row>
    <row r="630" spans="1:9" x14ac:dyDescent="0.25">
      <c r="A630" t="str">
        <f>"001006539"</f>
        <v>001006539</v>
      </c>
      <c r="B630" t="s">
        <v>2457</v>
      </c>
      <c r="D630" t="s">
        <v>2458</v>
      </c>
      <c r="E630" t="s">
        <v>331</v>
      </c>
      <c r="G630" t="s">
        <v>267</v>
      </c>
      <c r="H630" t="s">
        <v>39</v>
      </c>
      <c r="I630" t="s">
        <v>2459</v>
      </c>
    </row>
    <row r="631" spans="1:9" x14ac:dyDescent="0.25">
      <c r="A631" t="str">
        <f>"001040407"</f>
        <v>001040407</v>
      </c>
      <c r="B631" t="s">
        <v>2460</v>
      </c>
      <c r="D631" t="s">
        <v>2461</v>
      </c>
      <c r="G631" t="s">
        <v>696</v>
      </c>
      <c r="H631" t="s">
        <v>28</v>
      </c>
      <c r="I631" t="s">
        <v>2462</v>
      </c>
    </row>
    <row r="632" spans="1:9" x14ac:dyDescent="0.25">
      <c r="A632" t="str">
        <f>"000959121"</f>
        <v>000959121</v>
      </c>
      <c r="B632" t="s">
        <v>2463</v>
      </c>
      <c r="D632" t="s">
        <v>2464</v>
      </c>
      <c r="G632" t="s">
        <v>1768</v>
      </c>
      <c r="H632" t="s">
        <v>827</v>
      </c>
      <c r="I632" t="s">
        <v>2465</v>
      </c>
    </row>
    <row r="633" spans="1:9" x14ac:dyDescent="0.25">
      <c r="A633" t="str">
        <f>"001059365"</f>
        <v>001059365</v>
      </c>
      <c r="B633" t="s">
        <v>2466</v>
      </c>
      <c r="D633" t="s">
        <v>2467</v>
      </c>
      <c r="E633" t="s">
        <v>2468</v>
      </c>
      <c r="G633" t="s">
        <v>2469</v>
      </c>
      <c r="H633" t="s">
        <v>879</v>
      </c>
      <c r="I633" t="s">
        <v>2470</v>
      </c>
    </row>
    <row r="634" spans="1:9" x14ac:dyDescent="0.25">
      <c r="A634" t="str">
        <f>"001043076"</f>
        <v>001043076</v>
      </c>
      <c r="B634" t="s">
        <v>2471</v>
      </c>
      <c r="D634" t="s">
        <v>2472</v>
      </c>
      <c r="G634" t="s">
        <v>2473</v>
      </c>
      <c r="H634" t="s">
        <v>13</v>
      </c>
      <c r="I634" t="s">
        <v>2474</v>
      </c>
    </row>
    <row r="635" spans="1:9" x14ac:dyDescent="0.25">
      <c r="A635" t="str">
        <f>"001051391"</f>
        <v>001051391</v>
      </c>
      <c r="B635" t="s">
        <v>2475</v>
      </c>
      <c r="D635" t="s">
        <v>739</v>
      </c>
      <c r="G635" t="s">
        <v>740</v>
      </c>
      <c r="H635" t="s">
        <v>84</v>
      </c>
      <c r="I635" t="s">
        <v>2476</v>
      </c>
    </row>
    <row r="636" spans="1:9" x14ac:dyDescent="0.25">
      <c r="A636" t="str">
        <f>"001051392"</f>
        <v>001051392</v>
      </c>
      <c r="B636" t="s">
        <v>2477</v>
      </c>
      <c r="D636" t="s">
        <v>2478</v>
      </c>
      <c r="E636" t="s">
        <v>2479</v>
      </c>
      <c r="G636" t="s">
        <v>956</v>
      </c>
      <c r="H636" t="s">
        <v>957</v>
      </c>
      <c r="I636" t="s">
        <v>2480</v>
      </c>
    </row>
    <row r="637" spans="1:9" x14ac:dyDescent="0.25">
      <c r="A637" t="str">
        <f>"001037224"</f>
        <v>001037224</v>
      </c>
      <c r="B637" t="s">
        <v>2481</v>
      </c>
      <c r="D637" t="s">
        <v>2482</v>
      </c>
      <c r="G637" t="s">
        <v>64</v>
      </c>
      <c r="H637" t="s">
        <v>39</v>
      </c>
      <c r="I637" t="s">
        <v>2483</v>
      </c>
    </row>
    <row r="638" spans="1:9" x14ac:dyDescent="0.25">
      <c r="A638" t="str">
        <f>"000992199"</f>
        <v>000992199</v>
      </c>
      <c r="B638" t="s">
        <v>2484</v>
      </c>
      <c r="D638" t="s">
        <v>2485</v>
      </c>
      <c r="E638" t="s">
        <v>2486</v>
      </c>
      <c r="G638" t="s">
        <v>83</v>
      </c>
      <c r="H638" t="s">
        <v>84</v>
      </c>
      <c r="I638" t="s">
        <v>2487</v>
      </c>
    </row>
    <row r="639" spans="1:9" x14ac:dyDescent="0.25">
      <c r="A639" t="str">
        <f>"000992205"</f>
        <v>000992205</v>
      </c>
      <c r="B639" t="s">
        <v>2488</v>
      </c>
      <c r="D639" t="s">
        <v>2489</v>
      </c>
      <c r="G639" t="s">
        <v>1386</v>
      </c>
      <c r="H639" t="s">
        <v>34</v>
      </c>
      <c r="I639" t="s">
        <v>2490</v>
      </c>
    </row>
    <row r="640" spans="1:9" x14ac:dyDescent="0.25">
      <c r="A640" t="str">
        <f>"000965955"</f>
        <v>000965955</v>
      </c>
      <c r="B640" t="s">
        <v>2491</v>
      </c>
      <c r="D640" t="s">
        <v>2492</v>
      </c>
      <c r="E640" t="s">
        <v>2493</v>
      </c>
      <c r="G640" t="s">
        <v>64</v>
      </c>
      <c r="H640" t="s">
        <v>39</v>
      </c>
      <c r="I640" t="s">
        <v>2494</v>
      </c>
    </row>
    <row r="641" spans="1:9" x14ac:dyDescent="0.25">
      <c r="A641" t="str">
        <f>"000999994"</f>
        <v>000999994</v>
      </c>
      <c r="B641" t="s">
        <v>2495</v>
      </c>
      <c r="D641" t="s">
        <v>2496</v>
      </c>
      <c r="G641" t="s">
        <v>2497</v>
      </c>
      <c r="H641" t="s">
        <v>75</v>
      </c>
      <c r="I641" t="s">
        <v>2498</v>
      </c>
    </row>
    <row r="642" spans="1:9" x14ac:dyDescent="0.25">
      <c r="A642" t="str">
        <f>"001003763"</f>
        <v>001003763</v>
      </c>
      <c r="B642" t="s">
        <v>2499</v>
      </c>
      <c r="D642" t="s">
        <v>2500</v>
      </c>
      <c r="G642" t="s">
        <v>2501</v>
      </c>
      <c r="H642" t="s">
        <v>39</v>
      </c>
      <c r="I642" t="s">
        <v>2502</v>
      </c>
    </row>
    <row r="643" spans="1:9" x14ac:dyDescent="0.25">
      <c r="A643" t="str">
        <f>"001041500"</f>
        <v>001041500</v>
      </c>
      <c r="B643" t="s">
        <v>2503</v>
      </c>
      <c r="D643" t="s">
        <v>2504</v>
      </c>
      <c r="E643" t="s">
        <v>2505</v>
      </c>
      <c r="G643" t="s">
        <v>2506</v>
      </c>
      <c r="H643" t="s">
        <v>166</v>
      </c>
      <c r="I643" t="s">
        <v>2507</v>
      </c>
    </row>
    <row r="644" spans="1:9" x14ac:dyDescent="0.25">
      <c r="A644" t="str">
        <f>"001039360"</f>
        <v>001039360</v>
      </c>
      <c r="B644" t="s">
        <v>2508</v>
      </c>
      <c r="D644" t="s">
        <v>2509</v>
      </c>
      <c r="G644" t="s">
        <v>64</v>
      </c>
      <c r="H644" t="s">
        <v>39</v>
      </c>
      <c r="I644" t="s">
        <v>2510</v>
      </c>
    </row>
    <row r="645" spans="1:9" x14ac:dyDescent="0.25">
      <c r="A645" t="str">
        <f>"001011959"</f>
        <v>001011959</v>
      </c>
      <c r="B645" t="s">
        <v>2511</v>
      </c>
      <c r="D645" t="s">
        <v>2512</v>
      </c>
      <c r="G645" t="s">
        <v>2513</v>
      </c>
      <c r="H645" t="s">
        <v>166</v>
      </c>
      <c r="I645" t="s">
        <v>2514</v>
      </c>
    </row>
    <row r="646" spans="1:9" x14ac:dyDescent="0.25">
      <c r="A646" t="str">
        <f>"000997943"</f>
        <v>000997943</v>
      </c>
      <c r="B646" t="s">
        <v>2515</v>
      </c>
      <c r="D646" t="s">
        <v>2516</v>
      </c>
      <c r="G646" t="s">
        <v>2517</v>
      </c>
      <c r="H646" t="s">
        <v>796</v>
      </c>
      <c r="I646" t="s">
        <v>2518</v>
      </c>
    </row>
    <row r="647" spans="1:9" x14ac:dyDescent="0.25">
      <c r="A647" t="str">
        <f>"001068387"</f>
        <v>001068387</v>
      </c>
      <c r="B647" t="s">
        <v>2519</v>
      </c>
      <c r="D647" t="s">
        <v>2520</v>
      </c>
      <c r="G647" t="s">
        <v>90</v>
      </c>
      <c r="H647" t="s">
        <v>827</v>
      </c>
      <c r="I647" t="s">
        <v>2521</v>
      </c>
    </row>
    <row r="648" spans="1:9" x14ac:dyDescent="0.25">
      <c r="A648" t="str">
        <f>"001033107"</f>
        <v>001033107</v>
      </c>
      <c r="B648" t="s">
        <v>2522</v>
      </c>
      <c r="D648" t="s">
        <v>980</v>
      </c>
      <c r="G648" t="s">
        <v>130</v>
      </c>
      <c r="H648" t="s">
        <v>131</v>
      </c>
      <c r="I648" t="s">
        <v>2523</v>
      </c>
    </row>
    <row r="649" spans="1:9" x14ac:dyDescent="0.25">
      <c r="A649" t="str">
        <f>"001051343"</f>
        <v>001051343</v>
      </c>
      <c r="B649" t="s">
        <v>2524</v>
      </c>
      <c r="D649" t="s">
        <v>2175</v>
      </c>
      <c r="G649" t="s">
        <v>2176</v>
      </c>
      <c r="H649" t="s">
        <v>75</v>
      </c>
      <c r="I649" t="s">
        <v>2525</v>
      </c>
    </row>
    <row r="650" spans="1:9" x14ac:dyDescent="0.25">
      <c r="A650" t="str">
        <f>"001036849"</f>
        <v>001036849</v>
      </c>
      <c r="B650" t="s">
        <v>2526</v>
      </c>
      <c r="D650" t="s">
        <v>2527</v>
      </c>
      <c r="G650" t="s">
        <v>2501</v>
      </c>
      <c r="H650" t="s">
        <v>39</v>
      </c>
      <c r="I650" t="s">
        <v>2528</v>
      </c>
    </row>
    <row r="651" spans="1:9" x14ac:dyDescent="0.25">
      <c r="A651" t="str">
        <f>"001023031"</f>
        <v>001023031</v>
      </c>
      <c r="B651" t="s">
        <v>2529</v>
      </c>
      <c r="D651" t="s">
        <v>2530</v>
      </c>
      <c r="E651" t="s">
        <v>2531</v>
      </c>
      <c r="G651" t="s">
        <v>64</v>
      </c>
      <c r="H651" t="s">
        <v>39</v>
      </c>
      <c r="I651" t="s">
        <v>2532</v>
      </c>
    </row>
    <row r="652" spans="1:9" x14ac:dyDescent="0.25">
      <c r="A652" t="str">
        <f>"001003335"</f>
        <v>001003335</v>
      </c>
      <c r="B652" t="s">
        <v>2533</v>
      </c>
      <c r="D652" t="s">
        <v>2534</v>
      </c>
      <c r="E652" t="s">
        <v>2535</v>
      </c>
      <c r="G652" t="s">
        <v>60</v>
      </c>
      <c r="H652" t="s">
        <v>28</v>
      </c>
      <c r="I652" t="s">
        <v>2536</v>
      </c>
    </row>
    <row r="653" spans="1:9" x14ac:dyDescent="0.25">
      <c r="A653" t="str">
        <f>"001035280"</f>
        <v>001035280</v>
      </c>
      <c r="B653" t="s">
        <v>2537</v>
      </c>
      <c r="D653" t="s">
        <v>2538</v>
      </c>
      <c r="G653" t="s">
        <v>64</v>
      </c>
      <c r="H653" t="s">
        <v>39</v>
      </c>
      <c r="I653" t="s">
        <v>2539</v>
      </c>
    </row>
    <row r="654" spans="1:9" x14ac:dyDescent="0.25">
      <c r="A654" t="str">
        <f>"000995851"</f>
        <v>000995851</v>
      </c>
      <c r="B654" t="s">
        <v>2540</v>
      </c>
      <c r="D654" t="s">
        <v>2541</v>
      </c>
      <c r="G654" t="s">
        <v>1070</v>
      </c>
      <c r="H654" t="s">
        <v>84</v>
      </c>
      <c r="I654" t="s">
        <v>2542</v>
      </c>
    </row>
    <row r="655" spans="1:9" x14ac:dyDescent="0.25">
      <c r="A655" t="str">
        <f>"001015522"</f>
        <v>001015522</v>
      </c>
      <c r="B655" t="s">
        <v>2543</v>
      </c>
      <c r="D655" t="s">
        <v>2544</v>
      </c>
      <c r="G655" t="s">
        <v>1567</v>
      </c>
      <c r="H655" t="s">
        <v>1568</v>
      </c>
      <c r="I655" t="s">
        <v>2545</v>
      </c>
    </row>
    <row r="656" spans="1:9" x14ac:dyDescent="0.25">
      <c r="A656" t="str">
        <f>"000974767"</f>
        <v>000974767</v>
      </c>
      <c r="B656" t="s">
        <v>2546</v>
      </c>
      <c r="D656" t="s">
        <v>2547</v>
      </c>
      <c r="G656" t="s">
        <v>2548</v>
      </c>
      <c r="I656">
        <v>1130</v>
      </c>
    </row>
    <row r="657" spans="1:9" x14ac:dyDescent="0.25">
      <c r="A657" t="str">
        <f>"000999635"</f>
        <v>000999635</v>
      </c>
      <c r="B657" t="s">
        <v>2549</v>
      </c>
      <c r="D657" t="s">
        <v>2550</v>
      </c>
      <c r="E657" t="s">
        <v>2551</v>
      </c>
      <c r="G657" t="s">
        <v>165</v>
      </c>
      <c r="H657" t="s">
        <v>166</v>
      </c>
      <c r="I657" t="s">
        <v>2552</v>
      </c>
    </row>
    <row r="658" spans="1:9" x14ac:dyDescent="0.25">
      <c r="A658" t="str">
        <f>"000957601"</f>
        <v>000957601</v>
      </c>
      <c r="B658" t="s">
        <v>2553</v>
      </c>
      <c r="D658" t="s">
        <v>2554</v>
      </c>
      <c r="E658" t="s">
        <v>2555</v>
      </c>
      <c r="G658" t="s">
        <v>2556</v>
      </c>
      <c r="I658" t="s">
        <v>2557</v>
      </c>
    </row>
    <row r="659" spans="1:9" x14ac:dyDescent="0.25">
      <c r="A659" t="str">
        <f>"001050121"</f>
        <v>001050121</v>
      </c>
      <c r="B659" t="s">
        <v>2558</v>
      </c>
      <c r="D659" t="s">
        <v>2559</v>
      </c>
      <c r="E659" t="s">
        <v>2560</v>
      </c>
      <c r="G659" t="s">
        <v>591</v>
      </c>
      <c r="H659" t="s">
        <v>1234</v>
      </c>
      <c r="I659" t="s">
        <v>2561</v>
      </c>
    </row>
    <row r="660" spans="1:9" x14ac:dyDescent="0.25">
      <c r="A660" t="str">
        <f>"001013438"</f>
        <v>001013438</v>
      </c>
      <c r="B660" t="s">
        <v>2562</v>
      </c>
      <c r="D660" t="s">
        <v>2563</v>
      </c>
      <c r="G660" t="s">
        <v>2564</v>
      </c>
      <c r="H660" t="s">
        <v>75</v>
      </c>
      <c r="I660" t="s">
        <v>2565</v>
      </c>
    </row>
    <row r="661" spans="1:9" x14ac:dyDescent="0.25">
      <c r="A661" t="str">
        <f>"001042379"</f>
        <v>001042379</v>
      </c>
      <c r="B661" t="s">
        <v>2566</v>
      </c>
      <c r="D661" t="s">
        <v>2567</v>
      </c>
      <c r="E661" t="s">
        <v>2568</v>
      </c>
      <c r="G661" t="s">
        <v>2569</v>
      </c>
      <c r="I661" t="s">
        <v>2557</v>
      </c>
    </row>
    <row r="662" spans="1:9" x14ac:dyDescent="0.25">
      <c r="A662" t="str">
        <f>"001075753"</f>
        <v>001075753</v>
      </c>
      <c r="B662" t="s">
        <v>2570</v>
      </c>
      <c r="D662" t="s">
        <v>2571</v>
      </c>
      <c r="G662" t="s">
        <v>64</v>
      </c>
      <c r="H662" t="s">
        <v>39</v>
      </c>
      <c r="I662" t="s">
        <v>2572</v>
      </c>
    </row>
    <row r="663" spans="1:9" x14ac:dyDescent="0.25">
      <c r="A663" t="str">
        <f>"001076172"</f>
        <v>001076172</v>
      </c>
      <c r="B663" t="s">
        <v>2573</v>
      </c>
      <c r="D663" t="s">
        <v>2574</v>
      </c>
      <c r="G663" t="s">
        <v>64</v>
      </c>
      <c r="H663" t="s">
        <v>39</v>
      </c>
      <c r="I663" t="s">
        <v>2575</v>
      </c>
    </row>
    <row r="664" spans="1:9" x14ac:dyDescent="0.25">
      <c r="A664" t="str">
        <f>"001039495"</f>
        <v>001039495</v>
      </c>
      <c r="B664" t="s">
        <v>2576</v>
      </c>
      <c r="D664" t="s">
        <v>2577</v>
      </c>
      <c r="G664" t="s">
        <v>2578</v>
      </c>
      <c r="H664" t="s">
        <v>1118</v>
      </c>
      <c r="I664" t="s">
        <v>2579</v>
      </c>
    </row>
    <row r="665" spans="1:9" x14ac:dyDescent="0.25">
      <c r="A665" t="str">
        <f>"001001103"</f>
        <v>001001103</v>
      </c>
      <c r="B665" t="s">
        <v>2580</v>
      </c>
      <c r="D665" t="s">
        <v>2581</v>
      </c>
      <c r="E665" t="s">
        <v>2582</v>
      </c>
      <c r="G665" t="s">
        <v>711</v>
      </c>
      <c r="H665" t="s">
        <v>188</v>
      </c>
      <c r="I665" t="s">
        <v>2583</v>
      </c>
    </row>
    <row r="666" spans="1:9" x14ac:dyDescent="0.25">
      <c r="A666" t="str">
        <f>"001050570"</f>
        <v>001050570</v>
      </c>
      <c r="B666" t="s">
        <v>2584</v>
      </c>
      <c r="D666" t="s">
        <v>2585</v>
      </c>
      <c r="G666" t="s">
        <v>295</v>
      </c>
      <c r="H666" t="s">
        <v>296</v>
      </c>
      <c r="I666" t="s">
        <v>2586</v>
      </c>
    </row>
    <row r="667" spans="1:9" x14ac:dyDescent="0.25">
      <c r="A667" t="str">
        <f>"000959358"</f>
        <v>000959358</v>
      </c>
      <c r="B667" t="s">
        <v>2587</v>
      </c>
      <c r="D667" t="s">
        <v>2588</v>
      </c>
      <c r="G667" t="s">
        <v>60</v>
      </c>
      <c r="H667" t="s">
        <v>28</v>
      </c>
      <c r="I667" t="s">
        <v>2589</v>
      </c>
    </row>
    <row r="668" spans="1:9" x14ac:dyDescent="0.25">
      <c r="A668" t="str">
        <f>"001048800"</f>
        <v>001048800</v>
      </c>
      <c r="B668" t="s">
        <v>2590</v>
      </c>
      <c r="D668" t="s">
        <v>2591</v>
      </c>
      <c r="G668" t="s">
        <v>2592</v>
      </c>
      <c r="H668" t="s">
        <v>39</v>
      </c>
      <c r="I668" t="s">
        <v>2593</v>
      </c>
    </row>
    <row r="669" spans="1:9" x14ac:dyDescent="0.25">
      <c r="A669" t="str">
        <f>"001026749"</f>
        <v>001026749</v>
      </c>
      <c r="B669" t="s">
        <v>2594</v>
      </c>
      <c r="D669" t="s">
        <v>2595</v>
      </c>
      <c r="G669" t="s">
        <v>64</v>
      </c>
      <c r="H669" t="s">
        <v>39</v>
      </c>
      <c r="I669" t="s">
        <v>2596</v>
      </c>
    </row>
    <row r="670" spans="1:9" x14ac:dyDescent="0.25">
      <c r="A670" t="str">
        <f>"001029265"</f>
        <v>001029265</v>
      </c>
      <c r="B670" t="s">
        <v>2597</v>
      </c>
      <c r="D670" t="s">
        <v>2598</v>
      </c>
      <c r="G670" t="s">
        <v>1026</v>
      </c>
      <c r="H670" t="s">
        <v>263</v>
      </c>
      <c r="I670" t="s">
        <v>2599</v>
      </c>
    </row>
    <row r="671" spans="1:9" x14ac:dyDescent="0.25">
      <c r="A671" t="str">
        <f>"000966828"</f>
        <v>000966828</v>
      </c>
      <c r="B671" t="s">
        <v>2600</v>
      </c>
      <c r="D671" t="s">
        <v>2601</v>
      </c>
      <c r="G671" t="s">
        <v>64</v>
      </c>
      <c r="H671" t="s">
        <v>39</v>
      </c>
      <c r="I671" t="s">
        <v>2602</v>
      </c>
    </row>
    <row r="672" spans="1:9" x14ac:dyDescent="0.25">
      <c r="A672" t="str">
        <f>"001050582"</f>
        <v>001050582</v>
      </c>
      <c r="B672" t="s">
        <v>2603</v>
      </c>
      <c r="D672" t="s">
        <v>2604</v>
      </c>
      <c r="E672" t="s">
        <v>2605</v>
      </c>
      <c r="G672" t="s">
        <v>740</v>
      </c>
      <c r="H672" t="s">
        <v>84</v>
      </c>
      <c r="I672" t="s">
        <v>2606</v>
      </c>
    </row>
    <row r="673" spans="1:9" x14ac:dyDescent="0.25">
      <c r="A673" t="str">
        <f>"001002862"</f>
        <v>001002862</v>
      </c>
      <c r="B673" t="s">
        <v>2607</v>
      </c>
      <c r="D673" t="s">
        <v>2608</v>
      </c>
      <c r="E673" t="s">
        <v>2609</v>
      </c>
      <c r="G673" t="s">
        <v>1773</v>
      </c>
      <c r="H673" t="s">
        <v>28</v>
      </c>
      <c r="I673" t="s">
        <v>2610</v>
      </c>
    </row>
    <row r="674" spans="1:9" x14ac:dyDescent="0.25">
      <c r="A674" t="str">
        <f>"001070597"</f>
        <v>001070597</v>
      </c>
      <c r="B674" t="s">
        <v>2611</v>
      </c>
      <c r="D674" t="s">
        <v>2612</v>
      </c>
      <c r="G674" t="s">
        <v>64</v>
      </c>
      <c r="H674" t="s">
        <v>39</v>
      </c>
      <c r="I674" t="s">
        <v>2613</v>
      </c>
    </row>
    <row r="675" spans="1:9" x14ac:dyDescent="0.25">
      <c r="A675" t="str">
        <f>"001026962"</f>
        <v>001026962</v>
      </c>
      <c r="B675" t="s">
        <v>2614</v>
      </c>
      <c r="D675" t="s">
        <v>2615</v>
      </c>
      <c r="G675" t="s">
        <v>2616</v>
      </c>
      <c r="H675" t="s">
        <v>131</v>
      </c>
      <c r="I675" t="s">
        <v>2617</v>
      </c>
    </row>
    <row r="676" spans="1:9" x14ac:dyDescent="0.25">
      <c r="A676" t="str">
        <f>"000953490"</f>
        <v>000953490</v>
      </c>
      <c r="B676" t="s">
        <v>2618</v>
      </c>
      <c r="D676" t="s">
        <v>2619</v>
      </c>
      <c r="G676" t="s">
        <v>2620</v>
      </c>
      <c r="H676" t="s">
        <v>51</v>
      </c>
      <c r="I676" t="s">
        <v>2621</v>
      </c>
    </row>
    <row r="677" spans="1:9" x14ac:dyDescent="0.25">
      <c r="A677" t="str">
        <f>"001043566"</f>
        <v>001043566</v>
      </c>
      <c r="B677" t="s">
        <v>2622</v>
      </c>
      <c r="D677" t="s">
        <v>2623</v>
      </c>
      <c r="G677" t="s">
        <v>2290</v>
      </c>
      <c r="H677" t="s">
        <v>28</v>
      </c>
      <c r="I677" t="s">
        <v>2624</v>
      </c>
    </row>
    <row r="678" spans="1:9" x14ac:dyDescent="0.25">
      <c r="A678" t="str">
        <f>"000997536"</f>
        <v>000997536</v>
      </c>
      <c r="B678" t="s">
        <v>2625</v>
      </c>
      <c r="D678" t="s">
        <v>2626</v>
      </c>
      <c r="G678" t="s">
        <v>1011</v>
      </c>
      <c r="H678" t="s">
        <v>1012</v>
      </c>
      <c r="I678" t="s">
        <v>2627</v>
      </c>
    </row>
    <row r="679" spans="1:9" x14ac:dyDescent="0.25">
      <c r="A679" t="str">
        <f>"001041364"</f>
        <v>001041364</v>
      </c>
      <c r="B679" t="s">
        <v>2628</v>
      </c>
      <c r="D679" t="s">
        <v>2113</v>
      </c>
      <c r="G679" t="s">
        <v>64</v>
      </c>
      <c r="H679" t="s">
        <v>39</v>
      </c>
      <c r="I679" t="s">
        <v>2629</v>
      </c>
    </row>
    <row r="680" spans="1:9" x14ac:dyDescent="0.25">
      <c r="A680" t="str">
        <f>"001075404"</f>
        <v>001075404</v>
      </c>
      <c r="B680" t="s">
        <v>2630</v>
      </c>
      <c r="D680" t="s">
        <v>2631</v>
      </c>
      <c r="E680" t="s">
        <v>2632</v>
      </c>
      <c r="G680" t="s">
        <v>170</v>
      </c>
      <c r="H680" t="s">
        <v>171</v>
      </c>
      <c r="I680" t="s">
        <v>2633</v>
      </c>
    </row>
    <row r="681" spans="1:9" x14ac:dyDescent="0.25">
      <c r="A681" t="str">
        <f>"000952945"</f>
        <v>000952945</v>
      </c>
      <c r="B681" t="s">
        <v>2634</v>
      </c>
      <c r="D681" t="s">
        <v>2635</v>
      </c>
      <c r="G681" t="s">
        <v>507</v>
      </c>
      <c r="H681" t="s">
        <v>39</v>
      </c>
      <c r="I681" t="s">
        <v>2636</v>
      </c>
    </row>
    <row r="682" spans="1:9" x14ac:dyDescent="0.25">
      <c r="A682" t="str">
        <f>"001071745"</f>
        <v>001071745</v>
      </c>
      <c r="B682" t="s">
        <v>2637</v>
      </c>
      <c r="D682" t="s">
        <v>2638</v>
      </c>
      <c r="E682" t="s">
        <v>2639</v>
      </c>
      <c r="F682" t="s">
        <v>2640</v>
      </c>
      <c r="G682" t="s">
        <v>64</v>
      </c>
      <c r="H682" t="s">
        <v>39</v>
      </c>
      <c r="I682" t="s">
        <v>2641</v>
      </c>
    </row>
    <row r="683" spans="1:9" x14ac:dyDescent="0.25">
      <c r="A683" t="str">
        <f>"001005183"</f>
        <v>001005183</v>
      </c>
      <c r="B683" t="s">
        <v>2642</v>
      </c>
      <c r="D683" t="s">
        <v>2643</v>
      </c>
      <c r="G683" t="s">
        <v>64</v>
      </c>
      <c r="H683" t="s">
        <v>39</v>
      </c>
      <c r="I683" t="s">
        <v>2644</v>
      </c>
    </row>
    <row r="684" spans="1:9" x14ac:dyDescent="0.25">
      <c r="A684" t="str">
        <f>"001075036"</f>
        <v>001075036</v>
      </c>
      <c r="B684" t="s">
        <v>2645</v>
      </c>
      <c r="D684" t="s">
        <v>2646</v>
      </c>
      <c r="G684" t="s">
        <v>2647</v>
      </c>
      <c r="H684" t="s">
        <v>1234</v>
      </c>
      <c r="I684" t="s">
        <v>2648</v>
      </c>
    </row>
    <row r="685" spans="1:9" x14ac:dyDescent="0.25">
      <c r="A685" t="str">
        <f>"001063097"</f>
        <v>001063097</v>
      </c>
      <c r="B685" t="s">
        <v>2649</v>
      </c>
      <c r="D685" t="s">
        <v>2650</v>
      </c>
      <c r="G685" t="s">
        <v>2651</v>
      </c>
      <c r="H685" t="s">
        <v>809</v>
      </c>
      <c r="I685" t="s">
        <v>2652</v>
      </c>
    </row>
    <row r="686" spans="1:9" x14ac:dyDescent="0.25">
      <c r="A686" t="str">
        <f>"001046919"</f>
        <v>001046919</v>
      </c>
      <c r="B686" t="s">
        <v>2653</v>
      </c>
      <c r="D686" t="s">
        <v>2654</v>
      </c>
      <c r="G686" t="s">
        <v>688</v>
      </c>
      <c r="H686" t="s">
        <v>39</v>
      </c>
      <c r="I686" t="s">
        <v>2655</v>
      </c>
    </row>
    <row r="687" spans="1:9" x14ac:dyDescent="0.25">
      <c r="A687" t="str">
        <f>"001035897"</f>
        <v>001035897</v>
      </c>
      <c r="B687" t="s">
        <v>2656</v>
      </c>
      <c r="D687" t="s">
        <v>2657</v>
      </c>
      <c r="G687" t="s">
        <v>878</v>
      </c>
      <c r="H687" t="s">
        <v>879</v>
      </c>
      <c r="I687" t="s">
        <v>2658</v>
      </c>
    </row>
    <row r="688" spans="1:9" x14ac:dyDescent="0.25">
      <c r="A688" t="str">
        <f>"001029741"</f>
        <v>001029741</v>
      </c>
      <c r="B688" t="s">
        <v>2659</v>
      </c>
      <c r="D688" t="s">
        <v>2660</v>
      </c>
      <c r="G688" t="s">
        <v>2661</v>
      </c>
      <c r="I688">
        <v>153</v>
      </c>
    </row>
    <row r="689" spans="1:9" x14ac:dyDescent="0.25">
      <c r="A689" t="str">
        <f>"001029743"</f>
        <v>001029743</v>
      </c>
      <c r="B689" t="s">
        <v>2662</v>
      </c>
      <c r="D689" t="s">
        <v>2663</v>
      </c>
      <c r="G689" t="s">
        <v>2664</v>
      </c>
      <c r="H689" t="s">
        <v>131</v>
      </c>
      <c r="I689" t="s">
        <v>2665</v>
      </c>
    </row>
    <row r="690" spans="1:9" x14ac:dyDescent="0.25">
      <c r="A690" t="str">
        <f>"001073889"</f>
        <v>001073889</v>
      </c>
      <c r="B690" t="s">
        <v>2666</v>
      </c>
      <c r="D690" t="s">
        <v>2667</v>
      </c>
      <c r="G690" t="s">
        <v>2668</v>
      </c>
      <c r="H690" t="s">
        <v>39</v>
      </c>
      <c r="I690" t="s">
        <v>2669</v>
      </c>
    </row>
    <row r="691" spans="1:9" x14ac:dyDescent="0.25">
      <c r="A691" t="str">
        <f>"001050981"</f>
        <v>001050981</v>
      </c>
      <c r="B691" t="s">
        <v>2670</v>
      </c>
      <c r="D691" t="s">
        <v>2671</v>
      </c>
      <c r="G691" t="s">
        <v>956</v>
      </c>
      <c r="H691" t="s">
        <v>957</v>
      </c>
      <c r="I691" t="s">
        <v>2672</v>
      </c>
    </row>
    <row r="692" spans="1:9" x14ac:dyDescent="0.25">
      <c r="A692" t="str">
        <f>"001070174"</f>
        <v>001070174</v>
      </c>
      <c r="B692" t="s">
        <v>2673</v>
      </c>
      <c r="D692" t="s">
        <v>2674</v>
      </c>
      <c r="E692" t="s">
        <v>2675</v>
      </c>
      <c r="G692" t="s">
        <v>2676</v>
      </c>
      <c r="H692" t="s">
        <v>524</v>
      </c>
      <c r="I692" t="s">
        <v>2677</v>
      </c>
    </row>
    <row r="693" spans="1:9" x14ac:dyDescent="0.25">
      <c r="A693" t="str">
        <f>"001076530"</f>
        <v>001076530</v>
      </c>
      <c r="B693" t="s">
        <v>2678</v>
      </c>
      <c r="D693" t="s">
        <v>2679</v>
      </c>
      <c r="E693" t="s">
        <v>2680</v>
      </c>
      <c r="G693" t="s">
        <v>64</v>
      </c>
      <c r="H693" t="s">
        <v>39</v>
      </c>
      <c r="I693" t="s">
        <v>2681</v>
      </c>
    </row>
    <row r="694" spans="1:9" x14ac:dyDescent="0.25">
      <c r="A694" t="str">
        <f>"000803051"</f>
        <v>000803051</v>
      </c>
      <c r="B694" t="s">
        <v>2682</v>
      </c>
      <c r="D694" t="s">
        <v>2683</v>
      </c>
      <c r="G694" t="s">
        <v>253</v>
      </c>
      <c r="H694" t="s">
        <v>28</v>
      </c>
      <c r="I694" t="s">
        <v>2684</v>
      </c>
    </row>
    <row r="695" spans="1:9" x14ac:dyDescent="0.25">
      <c r="A695" t="str">
        <f>"000800152"</f>
        <v>000800152</v>
      </c>
      <c r="B695" t="s">
        <v>2685</v>
      </c>
      <c r="D695" t="s">
        <v>2686</v>
      </c>
      <c r="E695" t="s">
        <v>2687</v>
      </c>
      <c r="F695" t="s">
        <v>2688</v>
      </c>
      <c r="G695" t="s">
        <v>2689</v>
      </c>
      <c r="H695" t="s">
        <v>28</v>
      </c>
      <c r="I695" t="s">
        <v>2690</v>
      </c>
    </row>
    <row r="696" spans="1:9" x14ac:dyDescent="0.25">
      <c r="A696" t="str">
        <f>"000802277"</f>
        <v>000802277</v>
      </c>
      <c r="B696" t="s">
        <v>2691</v>
      </c>
      <c r="D696" t="s">
        <v>2692</v>
      </c>
      <c r="E696" t="s">
        <v>2693</v>
      </c>
      <c r="G696" t="s">
        <v>64</v>
      </c>
      <c r="H696" t="s">
        <v>39</v>
      </c>
      <c r="I696" t="s">
        <v>2694</v>
      </c>
    </row>
    <row r="697" spans="1:9" x14ac:dyDescent="0.25">
      <c r="A697" t="str">
        <f>"000802243"</f>
        <v>000802243</v>
      </c>
      <c r="B697" t="s">
        <v>2695</v>
      </c>
      <c r="D697" t="s">
        <v>2696</v>
      </c>
      <c r="E697" t="s">
        <v>2697</v>
      </c>
      <c r="F697" t="s">
        <v>2698</v>
      </c>
      <c r="G697" t="s">
        <v>1058</v>
      </c>
      <c r="H697" t="s">
        <v>182</v>
      </c>
      <c r="I697" t="s">
        <v>2699</v>
      </c>
    </row>
    <row r="698" spans="1:9" x14ac:dyDescent="0.25">
      <c r="A698" t="str">
        <f>"000802253"</f>
        <v>000802253</v>
      </c>
      <c r="B698" t="s">
        <v>2700</v>
      </c>
      <c r="D698" t="s">
        <v>2701</v>
      </c>
      <c r="E698" t="s">
        <v>2702</v>
      </c>
      <c r="G698" t="s">
        <v>2703</v>
      </c>
      <c r="H698" t="s">
        <v>957</v>
      </c>
      <c r="I698" t="s">
        <v>2704</v>
      </c>
    </row>
    <row r="699" spans="1:9" x14ac:dyDescent="0.25">
      <c r="A699" t="str">
        <f>"000802555"</f>
        <v>000802555</v>
      </c>
      <c r="B699" t="s">
        <v>2705</v>
      </c>
      <c r="D699" t="s">
        <v>2706</v>
      </c>
      <c r="G699" t="s">
        <v>1070</v>
      </c>
      <c r="H699" t="s">
        <v>84</v>
      </c>
      <c r="I699" t="s">
        <v>2707</v>
      </c>
    </row>
    <row r="700" spans="1:9" x14ac:dyDescent="0.25">
      <c r="A700" t="str">
        <f>"000629487"</f>
        <v>000629487</v>
      </c>
      <c r="B700" t="s">
        <v>2708</v>
      </c>
      <c r="D700" t="s">
        <v>2709</v>
      </c>
      <c r="E700" t="s">
        <v>2710</v>
      </c>
      <c r="G700" t="s">
        <v>130</v>
      </c>
      <c r="H700" t="s">
        <v>131</v>
      </c>
      <c r="I700" t="s">
        <v>2711</v>
      </c>
    </row>
    <row r="701" spans="1:9" x14ac:dyDescent="0.25">
      <c r="A701" t="str">
        <f>"000808392"</f>
        <v>000808392</v>
      </c>
      <c r="B701" t="s">
        <v>2712</v>
      </c>
      <c r="D701" t="s">
        <v>2713</v>
      </c>
      <c r="G701" t="s">
        <v>2714</v>
      </c>
      <c r="H701" t="s">
        <v>28</v>
      </c>
      <c r="I701" t="s">
        <v>2715</v>
      </c>
    </row>
    <row r="702" spans="1:9" x14ac:dyDescent="0.25">
      <c r="A702" t="str">
        <f>"000801651"</f>
        <v>000801651</v>
      </c>
      <c r="B702" t="s">
        <v>2716</v>
      </c>
      <c r="D702" t="s">
        <v>2717</v>
      </c>
      <c r="G702" t="s">
        <v>60</v>
      </c>
      <c r="H702" t="s">
        <v>28</v>
      </c>
      <c r="I702" t="s">
        <v>2718</v>
      </c>
    </row>
    <row r="703" spans="1:9" x14ac:dyDescent="0.25">
      <c r="A703" t="str">
        <f>"000801811"</f>
        <v>000801811</v>
      </c>
      <c r="B703" t="s">
        <v>2719</v>
      </c>
      <c r="D703" t="s">
        <v>2720</v>
      </c>
      <c r="G703" t="s">
        <v>64</v>
      </c>
      <c r="H703" t="s">
        <v>39</v>
      </c>
      <c r="I703" t="s">
        <v>2721</v>
      </c>
    </row>
    <row r="704" spans="1:9" x14ac:dyDescent="0.25">
      <c r="A704" t="str">
        <f>"000801835"</f>
        <v>000801835</v>
      </c>
      <c r="B704" t="s">
        <v>2722</v>
      </c>
      <c r="D704" t="s">
        <v>2175</v>
      </c>
      <c r="G704" t="s">
        <v>2723</v>
      </c>
      <c r="H704" t="s">
        <v>75</v>
      </c>
      <c r="I704" t="s">
        <v>2724</v>
      </c>
    </row>
    <row r="705" spans="1:9" x14ac:dyDescent="0.25">
      <c r="A705" t="str">
        <f>"000629236"</f>
        <v>000629236</v>
      </c>
      <c r="B705" t="s">
        <v>2725</v>
      </c>
      <c r="D705" t="s">
        <v>2726</v>
      </c>
      <c r="E705" t="s">
        <v>2727</v>
      </c>
      <c r="G705" t="s">
        <v>2728</v>
      </c>
      <c r="H705" t="s">
        <v>39</v>
      </c>
      <c r="I705" t="s">
        <v>2729</v>
      </c>
    </row>
    <row r="706" spans="1:9" x14ac:dyDescent="0.25">
      <c r="A706" t="str">
        <f>"000800495"</f>
        <v>000800495</v>
      </c>
      <c r="B706" t="s">
        <v>2730</v>
      </c>
      <c r="D706" t="s">
        <v>2731</v>
      </c>
      <c r="E706" t="s">
        <v>2732</v>
      </c>
      <c r="G706" t="s">
        <v>291</v>
      </c>
      <c r="H706" t="s">
        <v>182</v>
      </c>
      <c r="I706" t="s">
        <v>2733</v>
      </c>
    </row>
    <row r="707" spans="1:9" x14ac:dyDescent="0.25">
      <c r="A707" t="str">
        <f>"000800988"</f>
        <v>000800988</v>
      </c>
      <c r="B707" t="s">
        <v>2734</v>
      </c>
      <c r="D707" t="s">
        <v>2735</v>
      </c>
      <c r="G707" t="s">
        <v>2736</v>
      </c>
      <c r="H707" t="s">
        <v>39</v>
      </c>
      <c r="I707" t="s">
        <v>2737</v>
      </c>
    </row>
    <row r="708" spans="1:9" x14ac:dyDescent="0.25">
      <c r="A708" t="str">
        <f>"000800995"</f>
        <v>000800995</v>
      </c>
      <c r="B708" t="s">
        <v>2738</v>
      </c>
      <c r="D708" t="s">
        <v>2739</v>
      </c>
      <c r="E708" t="s">
        <v>2740</v>
      </c>
      <c r="G708" t="s">
        <v>2741</v>
      </c>
      <c r="H708" t="s">
        <v>28</v>
      </c>
      <c r="I708" t="s">
        <v>2742</v>
      </c>
    </row>
    <row r="709" spans="1:9" x14ac:dyDescent="0.25">
      <c r="A709" t="str">
        <f>"000801506"</f>
        <v>000801506</v>
      </c>
      <c r="B709" t="s">
        <v>2743</v>
      </c>
      <c r="D709" t="s">
        <v>2744</v>
      </c>
      <c r="G709" t="s">
        <v>1764</v>
      </c>
      <c r="H709" t="s">
        <v>39</v>
      </c>
      <c r="I709" t="s">
        <v>2745</v>
      </c>
    </row>
    <row r="710" spans="1:9" x14ac:dyDescent="0.25">
      <c r="A710" t="str">
        <f>"000629366"</f>
        <v>000629366</v>
      </c>
      <c r="B710" t="s">
        <v>2746</v>
      </c>
      <c r="D710" t="s">
        <v>2747</v>
      </c>
      <c r="G710" t="s">
        <v>2748</v>
      </c>
      <c r="H710" t="s">
        <v>34</v>
      </c>
      <c r="I710" t="s">
        <v>2749</v>
      </c>
    </row>
    <row r="711" spans="1:9" x14ac:dyDescent="0.25">
      <c r="A711" t="str">
        <f>"000801293"</f>
        <v>000801293</v>
      </c>
      <c r="B711" t="s">
        <v>2750</v>
      </c>
      <c r="D711" t="s">
        <v>2751</v>
      </c>
      <c r="G711" t="s">
        <v>60</v>
      </c>
      <c r="H711" t="s">
        <v>28</v>
      </c>
      <c r="I711" t="s">
        <v>2752</v>
      </c>
    </row>
    <row r="712" spans="1:9" x14ac:dyDescent="0.25">
      <c r="A712" t="str">
        <f>"000861419"</f>
        <v>000861419</v>
      </c>
      <c r="B712" t="s">
        <v>2753</v>
      </c>
      <c r="D712" t="s">
        <v>2754</v>
      </c>
      <c r="E712" t="s">
        <v>2755</v>
      </c>
      <c r="F712" t="s">
        <v>2756</v>
      </c>
      <c r="G712" t="s">
        <v>2757</v>
      </c>
      <c r="H712" t="s">
        <v>221</v>
      </c>
      <c r="I712" t="s">
        <v>2758</v>
      </c>
    </row>
    <row r="713" spans="1:9" x14ac:dyDescent="0.25">
      <c r="A713" t="str">
        <f>"000800210"</f>
        <v>000800210</v>
      </c>
      <c r="B713" t="s">
        <v>2759</v>
      </c>
      <c r="D713" t="s">
        <v>2760</v>
      </c>
      <c r="G713" t="s">
        <v>956</v>
      </c>
      <c r="H713" t="s">
        <v>957</v>
      </c>
      <c r="I713" t="s">
        <v>2761</v>
      </c>
    </row>
    <row r="714" spans="1:9" x14ac:dyDescent="0.25">
      <c r="A714" t="str">
        <f>"000847403"</f>
        <v>000847403</v>
      </c>
      <c r="B714" t="s">
        <v>2762</v>
      </c>
      <c r="D714" t="s">
        <v>2763</v>
      </c>
      <c r="G714" t="s">
        <v>74</v>
      </c>
      <c r="H714" t="s">
        <v>75</v>
      </c>
      <c r="I714" t="s">
        <v>2764</v>
      </c>
    </row>
    <row r="715" spans="1:9" x14ac:dyDescent="0.25">
      <c r="A715" t="str">
        <f>"000861405"</f>
        <v>000861405</v>
      </c>
      <c r="B715" t="s">
        <v>2765</v>
      </c>
      <c r="D715" t="s">
        <v>2766</v>
      </c>
      <c r="G715" t="s">
        <v>1003</v>
      </c>
      <c r="H715" t="s">
        <v>188</v>
      </c>
      <c r="I715" t="s">
        <v>2767</v>
      </c>
    </row>
    <row r="716" spans="1:9" x14ac:dyDescent="0.25">
      <c r="A716" t="str">
        <f>"000585162"</f>
        <v>000585162</v>
      </c>
      <c r="B716" t="s">
        <v>2768</v>
      </c>
      <c r="D716" t="s">
        <v>2769</v>
      </c>
      <c r="G716" t="s">
        <v>2444</v>
      </c>
      <c r="H716" t="s">
        <v>263</v>
      </c>
      <c r="I716" t="s">
        <v>2770</v>
      </c>
    </row>
    <row r="717" spans="1:9" x14ac:dyDescent="0.25">
      <c r="A717" t="str">
        <f>"000561835"</f>
        <v>000561835</v>
      </c>
      <c r="B717" t="s">
        <v>2771</v>
      </c>
      <c r="D717" t="s">
        <v>2772</v>
      </c>
      <c r="E717" t="s">
        <v>2773</v>
      </c>
      <c r="G717" t="s">
        <v>64</v>
      </c>
      <c r="H717" t="s">
        <v>39</v>
      </c>
      <c r="I717" t="s">
        <v>2774</v>
      </c>
    </row>
    <row r="718" spans="1:9" x14ac:dyDescent="0.25">
      <c r="A718" t="str">
        <f>"000563306"</f>
        <v>000563306</v>
      </c>
      <c r="B718" t="s">
        <v>2775</v>
      </c>
      <c r="D718" t="s">
        <v>2776</v>
      </c>
      <c r="G718" t="s">
        <v>64</v>
      </c>
      <c r="H718" t="s">
        <v>39</v>
      </c>
      <c r="I718" t="s">
        <v>2777</v>
      </c>
    </row>
    <row r="719" spans="1:9" x14ac:dyDescent="0.25">
      <c r="A719" t="str">
        <f>"000566650"</f>
        <v>000566650</v>
      </c>
      <c r="B719" t="s">
        <v>2778</v>
      </c>
      <c r="D719" t="s">
        <v>2779</v>
      </c>
      <c r="G719" t="s">
        <v>64</v>
      </c>
      <c r="H719" t="s">
        <v>39</v>
      </c>
      <c r="I719" t="s">
        <v>2780</v>
      </c>
    </row>
    <row r="720" spans="1:9" x14ac:dyDescent="0.25">
      <c r="A720" t="str">
        <f>"000590196"</f>
        <v>000590196</v>
      </c>
      <c r="B720" t="s">
        <v>2781</v>
      </c>
      <c r="D720" t="s">
        <v>2782</v>
      </c>
      <c r="E720" t="s">
        <v>2783</v>
      </c>
      <c r="G720" t="s">
        <v>1003</v>
      </c>
      <c r="H720" t="s">
        <v>188</v>
      </c>
      <c r="I720" t="s">
        <v>2784</v>
      </c>
    </row>
    <row r="721" spans="1:9" x14ac:dyDescent="0.25">
      <c r="A721" t="str">
        <f>"000568379"</f>
        <v>000568379</v>
      </c>
      <c r="B721" t="s">
        <v>2785</v>
      </c>
      <c r="D721" t="s">
        <v>2786</v>
      </c>
      <c r="E721" t="s">
        <v>2787</v>
      </c>
      <c r="F721" t="s">
        <v>2788</v>
      </c>
      <c r="G721" t="s">
        <v>60</v>
      </c>
      <c r="H721" t="s">
        <v>28</v>
      </c>
      <c r="I721" t="s">
        <v>2789</v>
      </c>
    </row>
    <row r="722" spans="1:9" x14ac:dyDescent="0.25">
      <c r="A722" t="str">
        <f>"000516219"</f>
        <v>000516219</v>
      </c>
      <c r="B722" t="s">
        <v>2790</v>
      </c>
      <c r="D722" t="s">
        <v>2791</v>
      </c>
      <c r="G722" t="s">
        <v>60</v>
      </c>
      <c r="H722" t="s">
        <v>28</v>
      </c>
      <c r="I722" t="s">
        <v>2792</v>
      </c>
    </row>
    <row r="723" spans="1:9" x14ac:dyDescent="0.25">
      <c r="A723" t="str">
        <f>"000609137"</f>
        <v>000609137</v>
      </c>
      <c r="B723" t="s">
        <v>2793</v>
      </c>
      <c r="D723" t="s">
        <v>2794</v>
      </c>
      <c r="G723" t="s">
        <v>64</v>
      </c>
      <c r="H723" t="s">
        <v>39</v>
      </c>
      <c r="I723" t="s">
        <v>2795</v>
      </c>
    </row>
    <row r="724" spans="1:9" x14ac:dyDescent="0.25">
      <c r="A724" t="str">
        <f>"000548165"</f>
        <v>000548165</v>
      </c>
      <c r="B724" t="s">
        <v>2796</v>
      </c>
      <c r="D724" t="s">
        <v>2797</v>
      </c>
      <c r="E724" t="s">
        <v>2797</v>
      </c>
      <c r="F724" t="s">
        <v>2798</v>
      </c>
      <c r="G724" t="s">
        <v>2799</v>
      </c>
      <c r="H724" t="s">
        <v>28</v>
      </c>
      <c r="I724" t="s">
        <v>2800</v>
      </c>
    </row>
    <row r="725" spans="1:9" x14ac:dyDescent="0.25">
      <c r="A725" t="str">
        <f>"000011543"</f>
        <v>000011543</v>
      </c>
      <c r="B725" t="s">
        <v>2801</v>
      </c>
      <c r="D725" t="s">
        <v>2802</v>
      </c>
      <c r="G725" t="s">
        <v>38</v>
      </c>
      <c r="H725" t="s">
        <v>39</v>
      </c>
      <c r="I725" t="s">
        <v>2803</v>
      </c>
    </row>
    <row r="726" spans="1:9" x14ac:dyDescent="0.25">
      <c r="A726" t="str">
        <f>"000011854"</f>
        <v>000011854</v>
      </c>
      <c r="B726" t="s">
        <v>2804</v>
      </c>
      <c r="D726" t="s">
        <v>2805</v>
      </c>
      <c r="G726" t="s">
        <v>130</v>
      </c>
      <c r="H726" t="s">
        <v>131</v>
      </c>
      <c r="I726" t="s">
        <v>2806</v>
      </c>
    </row>
    <row r="727" spans="1:9" x14ac:dyDescent="0.25">
      <c r="A727" t="str">
        <f>"000010679"</f>
        <v>000010679</v>
      </c>
      <c r="B727" t="s">
        <v>2807</v>
      </c>
      <c r="D727" t="s">
        <v>2808</v>
      </c>
      <c r="G727" t="s">
        <v>1122</v>
      </c>
      <c r="H727" t="s">
        <v>23</v>
      </c>
      <c r="I727" t="s">
        <v>2809</v>
      </c>
    </row>
    <row r="728" spans="1:9" x14ac:dyDescent="0.25">
      <c r="A728" t="str">
        <f>"000010675"</f>
        <v>000010675</v>
      </c>
      <c r="B728" t="s">
        <v>2810</v>
      </c>
      <c r="D728" t="s">
        <v>2811</v>
      </c>
      <c r="G728" t="s">
        <v>2812</v>
      </c>
      <c r="H728" t="s">
        <v>84</v>
      </c>
      <c r="I728" t="s">
        <v>2813</v>
      </c>
    </row>
    <row r="729" spans="1:9" x14ac:dyDescent="0.25">
      <c r="A729" t="str">
        <f>"000010189"</f>
        <v>000010189</v>
      </c>
      <c r="B729" t="s">
        <v>2814</v>
      </c>
      <c r="D729" t="s">
        <v>2815</v>
      </c>
      <c r="E729" t="s">
        <v>2816</v>
      </c>
      <c r="G729" t="s">
        <v>220</v>
      </c>
      <c r="H729" t="s">
        <v>221</v>
      </c>
      <c r="I729" t="s">
        <v>2817</v>
      </c>
    </row>
    <row r="730" spans="1:9" x14ac:dyDescent="0.25">
      <c r="A730" t="str">
        <f>"000011294"</f>
        <v>000011294</v>
      </c>
      <c r="B730" t="s">
        <v>2818</v>
      </c>
      <c r="D730" t="s">
        <v>2819</v>
      </c>
      <c r="E730" t="s">
        <v>2820</v>
      </c>
      <c r="G730" t="s">
        <v>1994</v>
      </c>
      <c r="H730" t="s">
        <v>39</v>
      </c>
      <c r="I730" t="s">
        <v>2821</v>
      </c>
    </row>
    <row r="731" spans="1:9" x14ac:dyDescent="0.25">
      <c r="A731" t="str">
        <f>"000011682"</f>
        <v>000011682</v>
      </c>
      <c r="B731" t="s">
        <v>2822</v>
      </c>
      <c r="D731" t="s">
        <v>2823</v>
      </c>
      <c r="E731" t="s">
        <v>2824</v>
      </c>
      <c r="F731" t="s">
        <v>2825</v>
      </c>
      <c r="G731" t="s">
        <v>2826</v>
      </c>
      <c r="H731" t="s">
        <v>13</v>
      </c>
      <c r="I731" t="s">
        <v>2827</v>
      </c>
    </row>
    <row r="732" spans="1:9" x14ac:dyDescent="0.25">
      <c r="A732" t="str">
        <f>"000012699"</f>
        <v>000012699</v>
      </c>
      <c r="B732" t="s">
        <v>2828</v>
      </c>
      <c r="D732" t="s">
        <v>2829</v>
      </c>
      <c r="G732" t="s">
        <v>2830</v>
      </c>
      <c r="I732" t="s">
        <v>2831</v>
      </c>
    </row>
    <row r="733" spans="1:9" x14ac:dyDescent="0.25">
      <c r="A733" t="str">
        <f>"000012474"</f>
        <v>000012474</v>
      </c>
      <c r="B733" t="s">
        <v>2832</v>
      </c>
      <c r="D733" t="s">
        <v>2833</v>
      </c>
      <c r="E733" t="s">
        <v>2834</v>
      </c>
      <c r="G733" t="s">
        <v>56</v>
      </c>
      <c r="H733" t="s">
        <v>28</v>
      </c>
      <c r="I733" t="s">
        <v>2835</v>
      </c>
    </row>
    <row r="734" spans="1:9" x14ac:dyDescent="0.25">
      <c r="A734" t="str">
        <f>"000011050"</f>
        <v>000011050</v>
      </c>
      <c r="B734" t="s">
        <v>2836</v>
      </c>
      <c r="D734" t="s">
        <v>2837</v>
      </c>
      <c r="G734" t="s">
        <v>38</v>
      </c>
      <c r="H734" t="s">
        <v>39</v>
      </c>
      <c r="I734" t="s">
        <v>2838</v>
      </c>
    </row>
    <row r="735" spans="1:9" x14ac:dyDescent="0.25">
      <c r="A735" t="str">
        <f>"000011024"</f>
        <v>000011024</v>
      </c>
      <c r="B735" t="s">
        <v>2839</v>
      </c>
      <c r="D735" t="s">
        <v>2840</v>
      </c>
      <c r="E735" t="s">
        <v>2841</v>
      </c>
      <c r="G735" t="s">
        <v>214</v>
      </c>
      <c r="H735" t="s">
        <v>120</v>
      </c>
      <c r="I735" t="s">
        <v>2842</v>
      </c>
    </row>
    <row r="736" spans="1:9" x14ac:dyDescent="0.25">
      <c r="A736" t="str">
        <f>"000010796"</f>
        <v>000010796</v>
      </c>
      <c r="B736" t="s">
        <v>2843</v>
      </c>
      <c r="D736" t="s">
        <v>2844</v>
      </c>
      <c r="E736" t="s">
        <v>2845</v>
      </c>
      <c r="G736" t="s">
        <v>550</v>
      </c>
      <c r="H736" t="s">
        <v>39</v>
      </c>
      <c r="I736" t="s">
        <v>2846</v>
      </c>
    </row>
    <row r="737" spans="1:9" x14ac:dyDescent="0.25">
      <c r="A737" t="str">
        <f>"000012208"</f>
        <v>000012208</v>
      </c>
      <c r="B737" t="s">
        <v>2847</v>
      </c>
      <c r="D737" t="s">
        <v>1902</v>
      </c>
      <c r="G737" t="s">
        <v>64</v>
      </c>
      <c r="H737" t="s">
        <v>39</v>
      </c>
      <c r="I737" t="s">
        <v>2848</v>
      </c>
    </row>
    <row r="738" spans="1:9" x14ac:dyDescent="0.25">
      <c r="A738" t="str">
        <f>"000012167"</f>
        <v>000012167</v>
      </c>
      <c r="B738" t="s">
        <v>2849</v>
      </c>
      <c r="D738" t="s">
        <v>2850</v>
      </c>
      <c r="G738" t="s">
        <v>64</v>
      </c>
      <c r="H738" t="s">
        <v>39</v>
      </c>
      <c r="I738" t="s">
        <v>2851</v>
      </c>
    </row>
    <row r="739" spans="1:9" x14ac:dyDescent="0.25">
      <c r="A739" t="str">
        <f>"000013349"</f>
        <v>000013349</v>
      </c>
      <c r="B739" t="s">
        <v>2852</v>
      </c>
      <c r="D739" t="s">
        <v>2853</v>
      </c>
      <c r="G739" t="s">
        <v>253</v>
      </c>
      <c r="H739" t="s">
        <v>28</v>
      </c>
      <c r="I739" t="s">
        <v>2854</v>
      </c>
    </row>
    <row r="740" spans="1:9" x14ac:dyDescent="0.25">
      <c r="A740" t="str">
        <f>"000010230"</f>
        <v>000010230</v>
      </c>
      <c r="B740" t="s">
        <v>2855</v>
      </c>
      <c r="D740" t="s">
        <v>2856</v>
      </c>
      <c r="G740" t="s">
        <v>878</v>
      </c>
      <c r="H740" t="s">
        <v>879</v>
      </c>
      <c r="I740" t="s">
        <v>2857</v>
      </c>
    </row>
    <row r="741" spans="1:9" x14ac:dyDescent="0.25">
      <c r="A741" t="str">
        <f>"000011366"</f>
        <v>000011366</v>
      </c>
      <c r="B741" t="s">
        <v>2858</v>
      </c>
      <c r="D741" t="s">
        <v>2859</v>
      </c>
      <c r="G741" t="s">
        <v>2860</v>
      </c>
      <c r="H741" t="s">
        <v>23</v>
      </c>
      <c r="I741" t="s">
        <v>2861</v>
      </c>
    </row>
    <row r="742" spans="1:9" x14ac:dyDescent="0.25">
      <c r="A742" t="str">
        <f>"000010728"</f>
        <v>000010728</v>
      </c>
      <c r="B742" t="s">
        <v>2862</v>
      </c>
      <c r="D742" t="s">
        <v>2863</v>
      </c>
      <c r="E742" t="s">
        <v>2864</v>
      </c>
      <c r="G742" t="s">
        <v>1211</v>
      </c>
      <c r="H742" t="s">
        <v>100</v>
      </c>
      <c r="I742" t="s">
        <v>2865</v>
      </c>
    </row>
    <row r="743" spans="1:9" x14ac:dyDescent="0.25">
      <c r="A743" t="str">
        <f>"000010718"</f>
        <v>000010718</v>
      </c>
      <c r="B743" t="s">
        <v>2866</v>
      </c>
      <c r="D743" t="s">
        <v>2867</v>
      </c>
      <c r="E743" t="s">
        <v>2868</v>
      </c>
      <c r="G743" t="s">
        <v>2869</v>
      </c>
      <c r="H743" t="s">
        <v>28</v>
      </c>
      <c r="I743" t="s">
        <v>2870</v>
      </c>
    </row>
    <row r="744" spans="1:9" x14ac:dyDescent="0.25">
      <c r="A744" t="str">
        <f>"000012135"</f>
        <v>000012135</v>
      </c>
      <c r="B744" t="s">
        <v>2871</v>
      </c>
      <c r="D744" t="s">
        <v>2872</v>
      </c>
      <c r="G744" t="s">
        <v>2873</v>
      </c>
      <c r="H744" t="s">
        <v>809</v>
      </c>
      <c r="I744" t="s">
        <v>2874</v>
      </c>
    </row>
    <row r="745" spans="1:9" x14ac:dyDescent="0.25">
      <c r="A745" t="str">
        <f>"000012122"</f>
        <v>000012122</v>
      </c>
      <c r="B745" t="s">
        <v>2875</v>
      </c>
      <c r="D745" t="s">
        <v>2876</v>
      </c>
      <c r="E745" t="s">
        <v>2877</v>
      </c>
      <c r="G745" t="s">
        <v>64</v>
      </c>
      <c r="H745" t="s">
        <v>39</v>
      </c>
      <c r="I745" t="s">
        <v>2878</v>
      </c>
    </row>
    <row r="746" spans="1:9" x14ac:dyDescent="0.25">
      <c r="A746" t="str">
        <f>"000010161"</f>
        <v>000010161</v>
      </c>
      <c r="B746" t="s">
        <v>2879</v>
      </c>
      <c r="D746" t="s">
        <v>2880</v>
      </c>
      <c r="G746" t="s">
        <v>64</v>
      </c>
      <c r="H746" t="s">
        <v>39</v>
      </c>
      <c r="I746" t="s">
        <v>2881</v>
      </c>
    </row>
    <row r="747" spans="1:9" x14ac:dyDescent="0.25">
      <c r="A747" t="str">
        <f>"000010940"</f>
        <v>000010940</v>
      </c>
      <c r="B747" t="s">
        <v>2882</v>
      </c>
      <c r="D747" t="s">
        <v>2883</v>
      </c>
      <c r="G747" t="s">
        <v>545</v>
      </c>
      <c r="H747" t="s">
        <v>39</v>
      </c>
      <c r="I747" t="s">
        <v>2884</v>
      </c>
    </row>
    <row r="748" spans="1:9" x14ac:dyDescent="0.25">
      <c r="A748" t="str">
        <f>"000011585"</f>
        <v>000011585</v>
      </c>
      <c r="B748" t="s">
        <v>2885</v>
      </c>
      <c r="D748" t="s">
        <v>2886</v>
      </c>
      <c r="E748" t="s">
        <v>1389</v>
      </c>
      <c r="G748" t="s">
        <v>38</v>
      </c>
      <c r="H748" t="s">
        <v>39</v>
      </c>
      <c r="I748" t="s">
        <v>2887</v>
      </c>
    </row>
    <row r="749" spans="1:9" x14ac:dyDescent="0.25">
      <c r="A749" t="str">
        <f>"000011165"</f>
        <v>000011165</v>
      </c>
      <c r="B749" t="s">
        <v>2888</v>
      </c>
      <c r="D749" t="s">
        <v>2889</v>
      </c>
      <c r="G749" t="s">
        <v>2564</v>
      </c>
      <c r="H749" t="s">
        <v>84</v>
      </c>
      <c r="I749" t="s">
        <v>2890</v>
      </c>
    </row>
    <row r="750" spans="1:9" x14ac:dyDescent="0.25">
      <c r="A750" t="str">
        <f>"000808091"</f>
        <v>000808091</v>
      </c>
      <c r="B750" t="s">
        <v>2891</v>
      </c>
      <c r="D750" t="s">
        <v>2892</v>
      </c>
      <c r="E750" t="s">
        <v>2893</v>
      </c>
      <c r="G750" t="s">
        <v>902</v>
      </c>
      <c r="H750" t="s">
        <v>28</v>
      </c>
      <c r="I750" t="s">
        <v>2894</v>
      </c>
    </row>
    <row r="751" spans="1:9" x14ac:dyDescent="0.25">
      <c r="A751" t="str">
        <f>"000855217"</f>
        <v>000855217</v>
      </c>
      <c r="B751" t="s">
        <v>2895</v>
      </c>
      <c r="D751" t="s">
        <v>2896</v>
      </c>
      <c r="E751" t="s">
        <v>2897</v>
      </c>
      <c r="G751" t="s">
        <v>214</v>
      </c>
      <c r="H751" t="s">
        <v>120</v>
      </c>
      <c r="I751" t="s">
        <v>2898</v>
      </c>
    </row>
    <row r="752" spans="1:9" x14ac:dyDescent="0.25">
      <c r="A752" t="str">
        <f>"000674667"</f>
        <v>000674667</v>
      </c>
      <c r="B752" t="s">
        <v>2899</v>
      </c>
      <c r="D752" t="s">
        <v>2900</v>
      </c>
      <c r="E752" t="s">
        <v>2901</v>
      </c>
      <c r="G752" t="s">
        <v>83</v>
      </c>
      <c r="H752" t="s">
        <v>84</v>
      </c>
      <c r="I752" t="s">
        <v>2902</v>
      </c>
    </row>
    <row r="753" spans="1:9" x14ac:dyDescent="0.25">
      <c r="A753" t="str">
        <f>"000674812"</f>
        <v>000674812</v>
      </c>
      <c r="B753" t="s">
        <v>2903</v>
      </c>
      <c r="D753" t="s">
        <v>2904</v>
      </c>
      <c r="G753" t="s">
        <v>64</v>
      </c>
      <c r="H753" t="s">
        <v>39</v>
      </c>
      <c r="I753" t="s">
        <v>2905</v>
      </c>
    </row>
    <row r="754" spans="1:9" x14ac:dyDescent="0.25">
      <c r="A754" t="str">
        <f>"000812533"</f>
        <v>000812533</v>
      </c>
      <c r="B754" t="s">
        <v>2906</v>
      </c>
      <c r="D754" t="s">
        <v>2907</v>
      </c>
      <c r="G754" t="s">
        <v>64</v>
      </c>
      <c r="H754" t="s">
        <v>39</v>
      </c>
      <c r="I754" t="s">
        <v>2908</v>
      </c>
    </row>
    <row r="755" spans="1:9" x14ac:dyDescent="0.25">
      <c r="A755" t="str">
        <f>"000860062"</f>
        <v>000860062</v>
      </c>
      <c r="B755" t="s">
        <v>2909</v>
      </c>
      <c r="D755" t="s">
        <v>2910</v>
      </c>
      <c r="E755" t="s">
        <v>2911</v>
      </c>
      <c r="G755" t="s">
        <v>2912</v>
      </c>
      <c r="H755" t="s">
        <v>13</v>
      </c>
      <c r="I755" t="s">
        <v>2913</v>
      </c>
    </row>
    <row r="756" spans="1:9" x14ac:dyDescent="0.25">
      <c r="A756" t="str">
        <f>"000812023"</f>
        <v>000812023</v>
      </c>
      <c r="B756" t="s">
        <v>2914</v>
      </c>
      <c r="D756" t="s">
        <v>2915</v>
      </c>
      <c r="G756" t="s">
        <v>64</v>
      </c>
      <c r="H756" t="s">
        <v>39</v>
      </c>
      <c r="I756" t="s">
        <v>2916</v>
      </c>
    </row>
    <row r="757" spans="1:9" x14ac:dyDescent="0.25">
      <c r="A757" t="str">
        <f>"000808677"</f>
        <v>000808677</v>
      </c>
      <c r="B757" t="s">
        <v>2917</v>
      </c>
      <c r="D757" t="s">
        <v>2918</v>
      </c>
      <c r="G757" t="s">
        <v>56</v>
      </c>
      <c r="H757" t="s">
        <v>28</v>
      </c>
      <c r="I757" t="s">
        <v>2919</v>
      </c>
    </row>
    <row r="758" spans="1:9" x14ac:dyDescent="0.25">
      <c r="A758" t="str">
        <f>"000057662"</f>
        <v>000057662</v>
      </c>
      <c r="B758" t="s">
        <v>2920</v>
      </c>
      <c r="D758" t="s">
        <v>2921</v>
      </c>
      <c r="G758" t="s">
        <v>64</v>
      </c>
      <c r="H758" t="s">
        <v>39</v>
      </c>
      <c r="I758" t="s">
        <v>2922</v>
      </c>
    </row>
    <row r="759" spans="1:9" x14ac:dyDescent="0.25">
      <c r="A759" t="str">
        <f>"000858585"</f>
        <v>000858585</v>
      </c>
      <c r="B759" t="s">
        <v>2923</v>
      </c>
      <c r="D759" t="s">
        <v>2924</v>
      </c>
      <c r="E759" t="s">
        <v>2925</v>
      </c>
      <c r="G759" t="s">
        <v>64</v>
      </c>
      <c r="H759" t="s">
        <v>39</v>
      </c>
      <c r="I759" t="s">
        <v>2926</v>
      </c>
    </row>
    <row r="760" spans="1:9" x14ac:dyDescent="0.25">
      <c r="A760" t="str">
        <f>"000890498"</f>
        <v>000890498</v>
      </c>
      <c r="B760" t="s">
        <v>2927</v>
      </c>
      <c r="D760" t="s">
        <v>2928</v>
      </c>
      <c r="G760" t="s">
        <v>2929</v>
      </c>
      <c r="H760" t="s">
        <v>296</v>
      </c>
      <c r="I760" t="s">
        <v>2930</v>
      </c>
    </row>
    <row r="761" spans="1:9" x14ac:dyDescent="0.25">
      <c r="A761" t="str">
        <f>"000846191"</f>
        <v>000846191</v>
      </c>
      <c r="B761" t="s">
        <v>2931</v>
      </c>
      <c r="D761" t="s">
        <v>2932</v>
      </c>
      <c r="G761" t="s">
        <v>64</v>
      </c>
      <c r="H761" t="s">
        <v>39</v>
      </c>
      <c r="I761" t="s">
        <v>2933</v>
      </c>
    </row>
    <row r="762" spans="1:9" x14ac:dyDescent="0.25">
      <c r="A762" t="str">
        <f>"000803218"</f>
        <v>000803218</v>
      </c>
      <c r="B762" t="s">
        <v>2934</v>
      </c>
      <c r="D762" t="s">
        <v>2935</v>
      </c>
      <c r="E762" t="s">
        <v>2936</v>
      </c>
      <c r="G762" t="s">
        <v>83</v>
      </c>
      <c r="H762" t="s">
        <v>84</v>
      </c>
      <c r="I762" t="s">
        <v>2937</v>
      </c>
    </row>
    <row r="763" spans="1:9" x14ac:dyDescent="0.25">
      <c r="A763" t="str">
        <f>"000802745"</f>
        <v>000802745</v>
      </c>
      <c r="B763" t="s">
        <v>2938</v>
      </c>
      <c r="D763" t="s">
        <v>2939</v>
      </c>
      <c r="E763" t="s">
        <v>11</v>
      </c>
      <c r="G763" t="s">
        <v>12</v>
      </c>
      <c r="H763" t="s">
        <v>13</v>
      </c>
      <c r="I763" t="s">
        <v>2940</v>
      </c>
    </row>
    <row r="764" spans="1:9" x14ac:dyDescent="0.25">
      <c r="A764" t="str">
        <f>"000852880"</f>
        <v>000852880</v>
      </c>
      <c r="B764" t="s">
        <v>2941</v>
      </c>
      <c r="D764" t="s">
        <v>2942</v>
      </c>
      <c r="E764" t="s">
        <v>2943</v>
      </c>
      <c r="F764" t="s">
        <v>2944</v>
      </c>
      <c r="G764" t="s">
        <v>64</v>
      </c>
      <c r="H764" t="s">
        <v>39</v>
      </c>
      <c r="I764" t="s">
        <v>2945</v>
      </c>
    </row>
    <row r="765" spans="1:9" x14ac:dyDescent="0.25">
      <c r="A765" t="str">
        <f>"000845240"</f>
        <v>000845240</v>
      </c>
      <c r="B765" t="s">
        <v>2946</v>
      </c>
      <c r="D765" t="s">
        <v>2947</v>
      </c>
      <c r="G765" t="s">
        <v>2948</v>
      </c>
      <c r="H765" t="s">
        <v>34</v>
      </c>
      <c r="I765">
        <v>43351</v>
      </c>
    </row>
    <row r="766" spans="1:9" x14ac:dyDescent="0.25">
      <c r="A766" t="str">
        <f>"000862877"</f>
        <v>000862877</v>
      </c>
      <c r="B766" t="s">
        <v>2949</v>
      </c>
      <c r="D766" t="s">
        <v>2950</v>
      </c>
      <c r="G766" t="s">
        <v>69</v>
      </c>
      <c r="H766" t="s">
        <v>70</v>
      </c>
      <c r="I766" t="s">
        <v>2951</v>
      </c>
    </row>
    <row r="767" spans="1:9" x14ac:dyDescent="0.25">
      <c r="A767" t="str">
        <f>"000875637"</f>
        <v>000875637</v>
      </c>
      <c r="B767" t="s">
        <v>2952</v>
      </c>
      <c r="D767" t="s">
        <v>2953</v>
      </c>
      <c r="G767" t="s">
        <v>136</v>
      </c>
      <c r="H767" t="s">
        <v>28</v>
      </c>
      <c r="I767" t="s">
        <v>2954</v>
      </c>
    </row>
    <row r="768" spans="1:9" x14ac:dyDescent="0.25">
      <c r="A768" t="str">
        <f>"000926194"</f>
        <v>000926194</v>
      </c>
      <c r="B768" t="s">
        <v>2955</v>
      </c>
      <c r="D768" t="s">
        <v>2956</v>
      </c>
      <c r="G768" t="s">
        <v>64</v>
      </c>
      <c r="H768" t="s">
        <v>39</v>
      </c>
      <c r="I768" t="s">
        <v>2957</v>
      </c>
    </row>
    <row r="769" spans="1:9" x14ac:dyDescent="0.25">
      <c r="A769" t="str">
        <f>"000222301"</f>
        <v>000222301</v>
      </c>
      <c r="B769" t="s">
        <v>2958</v>
      </c>
      <c r="D769" t="s">
        <v>2959</v>
      </c>
      <c r="G769" t="s">
        <v>64</v>
      </c>
      <c r="H769" t="s">
        <v>39</v>
      </c>
      <c r="I769" t="s">
        <v>2960</v>
      </c>
    </row>
    <row r="770" spans="1:9" x14ac:dyDescent="0.25">
      <c r="A770" t="str">
        <f>"000152390"</f>
        <v>000152390</v>
      </c>
      <c r="B770" t="s">
        <v>2961</v>
      </c>
      <c r="D770" t="s">
        <v>2962</v>
      </c>
      <c r="G770" t="s">
        <v>2963</v>
      </c>
      <c r="H770" t="s">
        <v>131</v>
      </c>
      <c r="I770" t="s">
        <v>2964</v>
      </c>
    </row>
    <row r="771" spans="1:9" x14ac:dyDescent="0.25">
      <c r="A771" t="str">
        <f>"000926185"</f>
        <v>000926185</v>
      </c>
      <c r="B771" t="s">
        <v>2965</v>
      </c>
      <c r="D771" t="s">
        <v>2966</v>
      </c>
      <c r="G771" t="s">
        <v>64</v>
      </c>
      <c r="H771" t="s">
        <v>39</v>
      </c>
      <c r="I771" t="s">
        <v>2967</v>
      </c>
    </row>
    <row r="772" spans="1:9" x14ac:dyDescent="0.25">
      <c r="A772" t="str">
        <f>"000927809"</f>
        <v>000927809</v>
      </c>
      <c r="B772" t="s">
        <v>2968</v>
      </c>
      <c r="D772" t="s">
        <v>2969</v>
      </c>
      <c r="E772" t="s">
        <v>2970</v>
      </c>
      <c r="G772" t="s">
        <v>64</v>
      </c>
      <c r="H772" t="s">
        <v>39</v>
      </c>
      <c r="I772" t="s">
        <v>2971</v>
      </c>
    </row>
    <row r="773" spans="1:9" x14ac:dyDescent="0.25">
      <c r="A773" t="str">
        <f>"000927785"</f>
        <v>000927785</v>
      </c>
      <c r="B773" t="s">
        <v>2972</v>
      </c>
      <c r="D773" t="s">
        <v>2973</v>
      </c>
      <c r="G773" t="s">
        <v>481</v>
      </c>
      <c r="H773" t="s">
        <v>75</v>
      </c>
      <c r="I773" t="s">
        <v>2974</v>
      </c>
    </row>
    <row r="774" spans="1:9" x14ac:dyDescent="0.25">
      <c r="A774" t="str">
        <f>"000221933"</f>
        <v>000221933</v>
      </c>
      <c r="B774" t="s">
        <v>2975</v>
      </c>
      <c r="D774" t="s">
        <v>2976</v>
      </c>
      <c r="E774" t="s">
        <v>2977</v>
      </c>
      <c r="G774" t="s">
        <v>38</v>
      </c>
      <c r="H774" t="s">
        <v>39</v>
      </c>
      <c r="I774" t="s">
        <v>2978</v>
      </c>
    </row>
    <row r="775" spans="1:9" x14ac:dyDescent="0.25">
      <c r="A775" t="str">
        <f>"000178216"</f>
        <v>000178216</v>
      </c>
      <c r="B775" t="s">
        <v>2979</v>
      </c>
      <c r="D775" t="s">
        <v>2980</v>
      </c>
      <c r="G775" t="s">
        <v>275</v>
      </c>
      <c r="H775" t="s">
        <v>23</v>
      </c>
      <c r="I775" t="s">
        <v>2981</v>
      </c>
    </row>
    <row r="776" spans="1:9" x14ac:dyDescent="0.25">
      <c r="A776" t="str">
        <f>"000912404"</f>
        <v>000912404</v>
      </c>
      <c r="B776" t="s">
        <v>2982</v>
      </c>
      <c r="D776" t="s">
        <v>2983</v>
      </c>
      <c r="G776" t="s">
        <v>64</v>
      </c>
      <c r="H776" t="s">
        <v>39</v>
      </c>
      <c r="I776" t="s">
        <v>2984</v>
      </c>
    </row>
    <row r="777" spans="1:9" x14ac:dyDescent="0.25">
      <c r="A777" t="str">
        <f>"000896214"</f>
        <v>000896214</v>
      </c>
      <c r="B777" t="s">
        <v>2985</v>
      </c>
      <c r="D777" t="s">
        <v>2986</v>
      </c>
      <c r="E777" t="s">
        <v>2987</v>
      </c>
      <c r="G777" t="s">
        <v>64</v>
      </c>
      <c r="H777" t="s">
        <v>39</v>
      </c>
      <c r="I777" t="s">
        <v>2988</v>
      </c>
    </row>
    <row r="778" spans="1:9" x14ac:dyDescent="0.25">
      <c r="A778" t="str">
        <f>"000907119"</f>
        <v>000907119</v>
      </c>
      <c r="B778" t="s">
        <v>2989</v>
      </c>
      <c r="D778" t="s">
        <v>2990</v>
      </c>
      <c r="E778" t="s">
        <v>2991</v>
      </c>
      <c r="G778" t="s">
        <v>64</v>
      </c>
      <c r="H778" t="s">
        <v>39</v>
      </c>
      <c r="I778" t="s">
        <v>2992</v>
      </c>
    </row>
    <row r="779" spans="1:9" x14ac:dyDescent="0.25">
      <c r="A779" t="str">
        <f>"000914360"</f>
        <v>000914360</v>
      </c>
      <c r="B779" t="s">
        <v>2993</v>
      </c>
      <c r="D779" t="s">
        <v>2994</v>
      </c>
      <c r="G779" t="s">
        <v>170</v>
      </c>
      <c r="H779" t="s">
        <v>171</v>
      </c>
      <c r="I779" t="s">
        <v>2995</v>
      </c>
    </row>
    <row r="780" spans="1:9" x14ac:dyDescent="0.25">
      <c r="A780" t="str">
        <f>"000192894"</f>
        <v>000192894</v>
      </c>
      <c r="B780" t="s">
        <v>2996</v>
      </c>
      <c r="D780" t="s">
        <v>2997</v>
      </c>
      <c r="G780" t="s">
        <v>64</v>
      </c>
      <c r="H780" t="s">
        <v>39</v>
      </c>
      <c r="I780" t="s">
        <v>2998</v>
      </c>
    </row>
    <row r="781" spans="1:9" x14ac:dyDescent="0.25">
      <c r="A781" t="str">
        <f>"000161571"</f>
        <v>000161571</v>
      </c>
      <c r="B781" t="s">
        <v>2999</v>
      </c>
      <c r="D781" t="s">
        <v>3000</v>
      </c>
      <c r="G781" t="s">
        <v>1624</v>
      </c>
      <c r="H781" t="s">
        <v>39</v>
      </c>
      <c r="I781" t="s">
        <v>3001</v>
      </c>
    </row>
    <row r="782" spans="1:9" x14ac:dyDescent="0.25">
      <c r="A782" t="str">
        <f>"000160519"</f>
        <v>000160519</v>
      </c>
      <c r="B782" t="s">
        <v>3002</v>
      </c>
      <c r="D782" t="s">
        <v>3003</v>
      </c>
      <c r="G782" t="s">
        <v>64</v>
      </c>
      <c r="H782" t="s">
        <v>39</v>
      </c>
      <c r="I782" t="s">
        <v>3004</v>
      </c>
    </row>
    <row r="783" spans="1:9" x14ac:dyDescent="0.25">
      <c r="A783" t="str">
        <f>"000322274"</f>
        <v>000322274</v>
      </c>
      <c r="B783" t="s">
        <v>3005</v>
      </c>
      <c r="D783" t="s">
        <v>3006</v>
      </c>
      <c r="E783" t="s">
        <v>3007</v>
      </c>
      <c r="G783" t="s">
        <v>60</v>
      </c>
      <c r="H783" t="s">
        <v>28</v>
      </c>
      <c r="I783" t="s">
        <v>3008</v>
      </c>
    </row>
    <row r="784" spans="1:9" x14ac:dyDescent="0.25">
      <c r="A784" t="str">
        <f>"000322864"</f>
        <v>000322864</v>
      </c>
      <c r="B784" t="s">
        <v>3009</v>
      </c>
      <c r="D784" t="s">
        <v>3010</v>
      </c>
      <c r="G784" t="s">
        <v>60</v>
      </c>
      <c r="H784" t="s">
        <v>28</v>
      </c>
      <c r="I784" t="s">
        <v>3011</v>
      </c>
    </row>
    <row r="785" spans="1:9" x14ac:dyDescent="0.25">
      <c r="A785" t="str">
        <f>"000322351"</f>
        <v>000322351</v>
      </c>
      <c r="B785" t="s">
        <v>3012</v>
      </c>
      <c r="D785" t="s">
        <v>3013</v>
      </c>
      <c r="E785" t="s">
        <v>3014</v>
      </c>
      <c r="F785" t="s">
        <v>3015</v>
      </c>
      <c r="G785" t="s">
        <v>1256</v>
      </c>
      <c r="H785" t="s">
        <v>75</v>
      </c>
      <c r="I785" t="s">
        <v>3016</v>
      </c>
    </row>
    <row r="786" spans="1:9" x14ac:dyDescent="0.25">
      <c r="A786" t="str">
        <f>"000323891"</f>
        <v>000323891</v>
      </c>
      <c r="B786" t="s">
        <v>3017</v>
      </c>
      <c r="D786" t="s">
        <v>3018</v>
      </c>
      <c r="E786" t="s">
        <v>3019</v>
      </c>
      <c r="F786" t="s">
        <v>3020</v>
      </c>
      <c r="G786" t="s">
        <v>3021</v>
      </c>
      <c r="H786" t="s">
        <v>809</v>
      </c>
      <c r="I786" t="s">
        <v>3022</v>
      </c>
    </row>
    <row r="787" spans="1:9" x14ac:dyDescent="0.25">
      <c r="A787" t="str">
        <f>"000324165"</f>
        <v>000324165</v>
      </c>
      <c r="B787" t="s">
        <v>3023</v>
      </c>
      <c r="D787" t="s">
        <v>3024</v>
      </c>
      <c r="G787" t="s">
        <v>956</v>
      </c>
      <c r="H787" t="s">
        <v>957</v>
      </c>
      <c r="I787" t="s">
        <v>3025</v>
      </c>
    </row>
    <row r="788" spans="1:9" x14ac:dyDescent="0.25">
      <c r="A788" t="str">
        <f>"000324292"</f>
        <v>000324292</v>
      </c>
      <c r="B788" t="s">
        <v>3026</v>
      </c>
      <c r="D788" t="s">
        <v>3027</v>
      </c>
      <c r="E788" t="s">
        <v>3028</v>
      </c>
      <c r="G788" t="s">
        <v>3029</v>
      </c>
      <c r="H788" t="s">
        <v>827</v>
      </c>
      <c r="I788" t="s">
        <v>3030</v>
      </c>
    </row>
    <row r="789" spans="1:9" x14ac:dyDescent="0.25">
      <c r="A789" t="str">
        <f>"000324331"</f>
        <v>000324331</v>
      </c>
      <c r="B789" t="s">
        <v>3031</v>
      </c>
      <c r="D789" t="s">
        <v>3032</v>
      </c>
      <c r="G789" t="s">
        <v>60</v>
      </c>
      <c r="H789" t="s">
        <v>28</v>
      </c>
      <c r="I789" t="s">
        <v>3033</v>
      </c>
    </row>
    <row r="790" spans="1:9" x14ac:dyDescent="0.25">
      <c r="A790" t="str">
        <f>"000324340"</f>
        <v>000324340</v>
      </c>
      <c r="B790" t="s">
        <v>3034</v>
      </c>
      <c r="D790" t="s">
        <v>3035</v>
      </c>
      <c r="G790" t="s">
        <v>64</v>
      </c>
      <c r="H790" t="s">
        <v>39</v>
      </c>
      <c r="I790">
        <v>63103</v>
      </c>
    </row>
    <row r="791" spans="1:9" x14ac:dyDescent="0.25">
      <c r="A791" t="str">
        <f>"000322480"</f>
        <v>000322480</v>
      </c>
      <c r="B791" t="s">
        <v>3036</v>
      </c>
      <c r="D791" t="s">
        <v>3037</v>
      </c>
      <c r="E791" t="s">
        <v>3038</v>
      </c>
      <c r="F791" t="s">
        <v>3039</v>
      </c>
      <c r="G791" t="s">
        <v>3040</v>
      </c>
      <c r="H791" t="s">
        <v>39</v>
      </c>
      <c r="I791" t="s">
        <v>3041</v>
      </c>
    </row>
    <row r="792" spans="1:9" x14ac:dyDescent="0.25">
      <c r="A792" t="str">
        <f>"000323818"</f>
        <v>000323818</v>
      </c>
      <c r="B792" t="s">
        <v>3042</v>
      </c>
      <c r="D792" t="s">
        <v>3043</v>
      </c>
      <c r="G792" t="s">
        <v>3044</v>
      </c>
      <c r="H792" t="s">
        <v>23</v>
      </c>
      <c r="I792" t="s">
        <v>3045</v>
      </c>
    </row>
    <row r="793" spans="1:9" x14ac:dyDescent="0.25">
      <c r="A793" t="str">
        <f>"000323859"</f>
        <v>000323859</v>
      </c>
      <c r="B793" t="s">
        <v>3046</v>
      </c>
      <c r="D793" t="s">
        <v>3047</v>
      </c>
      <c r="E793" t="s">
        <v>3048</v>
      </c>
      <c r="G793" t="s">
        <v>949</v>
      </c>
      <c r="H793" t="s">
        <v>34</v>
      </c>
      <c r="I793" t="s">
        <v>3049</v>
      </c>
    </row>
    <row r="794" spans="1:9" x14ac:dyDescent="0.25">
      <c r="A794" t="str">
        <f>"000322627"</f>
        <v>000322627</v>
      </c>
      <c r="B794" t="s">
        <v>3050</v>
      </c>
      <c r="D794" t="s">
        <v>3051</v>
      </c>
      <c r="E794" t="s">
        <v>3052</v>
      </c>
      <c r="G794" t="s">
        <v>64</v>
      </c>
      <c r="H794" t="s">
        <v>39</v>
      </c>
      <c r="I794" t="s">
        <v>3053</v>
      </c>
    </row>
    <row r="795" spans="1:9" x14ac:dyDescent="0.25">
      <c r="A795" t="str">
        <f>"000323377"</f>
        <v>000323377</v>
      </c>
      <c r="B795" t="s">
        <v>3054</v>
      </c>
      <c r="D795" t="s">
        <v>3055</v>
      </c>
      <c r="G795" t="s">
        <v>3056</v>
      </c>
      <c r="H795" t="s">
        <v>1012</v>
      </c>
      <c r="I795" t="s">
        <v>3057</v>
      </c>
    </row>
    <row r="796" spans="1:9" x14ac:dyDescent="0.25">
      <c r="A796" t="str">
        <f>"000223620"</f>
        <v>000223620</v>
      </c>
      <c r="B796" t="s">
        <v>3058</v>
      </c>
      <c r="D796" t="s">
        <v>3059</v>
      </c>
      <c r="G796" t="s">
        <v>1305</v>
      </c>
      <c r="H796" t="s">
        <v>131</v>
      </c>
      <c r="I796" t="s">
        <v>3060</v>
      </c>
    </row>
    <row r="797" spans="1:9" x14ac:dyDescent="0.25">
      <c r="A797" t="str">
        <f>"000201511"</f>
        <v>000201511</v>
      </c>
      <c r="B797" t="s">
        <v>3061</v>
      </c>
      <c r="D797" t="s">
        <v>3062</v>
      </c>
      <c r="E797" t="s">
        <v>3063</v>
      </c>
      <c r="G797" t="s">
        <v>591</v>
      </c>
      <c r="H797" t="s">
        <v>28</v>
      </c>
      <c r="I797" t="s">
        <v>3064</v>
      </c>
    </row>
    <row r="798" spans="1:9" x14ac:dyDescent="0.25">
      <c r="A798" t="str">
        <f>"000244260"</f>
        <v>000244260</v>
      </c>
      <c r="B798" t="s">
        <v>3065</v>
      </c>
      <c r="D798" t="s">
        <v>3066</v>
      </c>
      <c r="G798" t="s">
        <v>64</v>
      </c>
      <c r="H798" t="s">
        <v>39</v>
      </c>
      <c r="I798" t="s">
        <v>3067</v>
      </c>
    </row>
    <row r="799" spans="1:9" x14ac:dyDescent="0.25">
      <c r="A799" t="str">
        <f>"000271224"</f>
        <v>000271224</v>
      </c>
      <c r="B799" t="s">
        <v>3068</v>
      </c>
      <c r="D799" t="s">
        <v>3069</v>
      </c>
      <c r="G799" t="s">
        <v>2180</v>
      </c>
      <c r="H799" t="s">
        <v>827</v>
      </c>
      <c r="I799" t="s">
        <v>3070</v>
      </c>
    </row>
    <row r="800" spans="1:9" x14ac:dyDescent="0.25">
      <c r="A800" t="str">
        <f>"000278056"</f>
        <v>000278056</v>
      </c>
      <c r="B800" t="s">
        <v>3071</v>
      </c>
      <c r="D800" t="s">
        <v>3072</v>
      </c>
      <c r="G800" t="s">
        <v>3073</v>
      </c>
      <c r="H800" t="s">
        <v>13</v>
      </c>
      <c r="I800" t="s">
        <v>3074</v>
      </c>
    </row>
    <row r="801" spans="1:9" x14ac:dyDescent="0.25">
      <c r="A801" t="str">
        <f>"000286659"</f>
        <v>000286659</v>
      </c>
      <c r="B801" t="s">
        <v>3075</v>
      </c>
      <c r="D801" t="s">
        <v>3076</v>
      </c>
      <c r="G801" t="s">
        <v>64</v>
      </c>
      <c r="H801" t="s">
        <v>39</v>
      </c>
      <c r="I801" t="s">
        <v>3077</v>
      </c>
    </row>
    <row r="802" spans="1:9" x14ac:dyDescent="0.25">
      <c r="A802" t="str">
        <f>"000299973"</f>
        <v>000299973</v>
      </c>
      <c r="B802" t="s">
        <v>3078</v>
      </c>
      <c r="D802" t="s">
        <v>2876</v>
      </c>
      <c r="E802" t="s">
        <v>3079</v>
      </c>
      <c r="G802" t="s">
        <v>64</v>
      </c>
      <c r="H802" t="s">
        <v>39</v>
      </c>
      <c r="I802" t="s">
        <v>3080</v>
      </c>
    </row>
    <row r="803" spans="1:9" x14ac:dyDescent="0.25">
      <c r="A803" t="str">
        <f>"000288118"</f>
        <v>000288118</v>
      </c>
      <c r="B803" t="s">
        <v>3081</v>
      </c>
      <c r="D803" t="s">
        <v>1308</v>
      </c>
      <c r="E803" t="s">
        <v>3082</v>
      </c>
      <c r="G803" t="s">
        <v>3083</v>
      </c>
      <c r="H803" t="s">
        <v>477</v>
      </c>
      <c r="I803" t="s">
        <v>3084</v>
      </c>
    </row>
    <row r="804" spans="1:9" x14ac:dyDescent="0.25">
      <c r="A804" t="str">
        <f>"000301439"</f>
        <v>000301439</v>
      </c>
      <c r="B804" t="s">
        <v>3085</v>
      </c>
      <c r="D804" t="s">
        <v>3086</v>
      </c>
      <c r="G804" t="s">
        <v>921</v>
      </c>
      <c r="H804" t="s">
        <v>28</v>
      </c>
      <c r="I804" t="s">
        <v>3087</v>
      </c>
    </row>
    <row r="805" spans="1:9" x14ac:dyDescent="0.25">
      <c r="A805" t="str">
        <f>"000354715"</f>
        <v>000354715</v>
      </c>
      <c r="B805" t="s">
        <v>3088</v>
      </c>
      <c r="D805" t="s">
        <v>3089</v>
      </c>
      <c r="E805" t="s">
        <v>3090</v>
      </c>
      <c r="G805" t="s">
        <v>60</v>
      </c>
      <c r="H805" t="s">
        <v>28</v>
      </c>
      <c r="I805" t="s">
        <v>3091</v>
      </c>
    </row>
    <row r="806" spans="1:9" x14ac:dyDescent="0.25">
      <c r="A806" t="str">
        <f>"000375694"</f>
        <v>000375694</v>
      </c>
      <c r="B806" t="s">
        <v>3092</v>
      </c>
      <c r="D806" t="s">
        <v>3093</v>
      </c>
      <c r="E806" t="s">
        <v>3094</v>
      </c>
      <c r="F806" t="s">
        <v>3095</v>
      </c>
      <c r="G806" t="s">
        <v>3096</v>
      </c>
      <c r="H806" t="s">
        <v>182</v>
      </c>
      <c r="I806" t="s">
        <v>3097</v>
      </c>
    </row>
    <row r="807" spans="1:9" x14ac:dyDescent="0.25">
      <c r="A807" t="str">
        <f>"000388224"</f>
        <v>000388224</v>
      </c>
      <c r="B807" t="s">
        <v>3098</v>
      </c>
      <c r="D807" t="s">
        <v>3099</v>
      </c>
      <c r="G807" t="s">
        <v>1599</v>
      </c>
      <c r="H807" t="s">
        <v>477</v>
      </c>
      <c r="I807" t="s">
        <v>3100</v>
      </c>
    </row>
    <row r="808" spans="1:9" x14ac:dyDescent="0.25">
      <c r="A808" t="str">
        <f>"000404228"</f>
        <v>000404228</v>
      </c>
      <c r="B808" t="s">
        <v>3101</v>
      </c>
      <c r="D808" t="s">
        <v>3102</v>
      </c>
      <c r="G808" t="s">
        <v>64</v>
      </c>
      <c r="H808" t="s">
        <v>39</v>
      </c>
      <c r="I808" t="s">
        <v>3103</v>
      </c>
    </row>
    <row r="809" spans="1:9" x14ac:dyDescent="0.25">
      <c r="A809" t="str">
        <f>"000397707"</f>
        <v>000397707</v>
      </c>
      <c r="B809" t="s">
        <v>3104</v>
      </c>
      <c r="D809" t="s">
        <v>3105</v>
      </c>
      <c r="G809" t="s">
        <v>3106</v>
      </c>
      <c r="H809" t="s">
        <v>39</v>
      </c>
      <c r="I809" t="s">
        <v>3107</v>
      </c>
    </row>
    <row r="810" spans="1:9" x14ac:dyDescent="0.25">
      <c r="A810" t="str">
        <f>"000424357"</f>
        <v>000424357</v>
      </c>
      <c r="B810" t="s">
        <v>3108</v>
      </c>
      <c r="D810" t="s">
        <v>3109</v>
      </c>
      <c r="E810" t="s">
        <v>3110</v>
      </c>
      <c r="G810" t="s">
        <v>3111</v>
      </c>
      <c r="H810" t="s">
        <v>365</v>
      </c>
      <c r="I810" t="s">
        <v>3112</v>
      </c>
    </row>
    <row r="811" spans="1:9" x14ac:dyDescent="0.25">
      <c r="A811" t="str">
        <f>"000418294"</f>
        <v>000418294</v>
      </c>
      <c r="B811" t="s">
        <v>3113</v>
      </c>
      <c r="D811" t="s">
        <v>3114</v>
      </c>
      <c r="G811" t="s">
        <v>60</v>
      </c>
      <c r="H811" t="s">
        <v>28</v>
      </c>
      <c r="I811" t="s">
        <v>3115</v>
      </c>
    </row>
    <row r="812" spans="1:9" x14ac:dyDescent="0.25">
      <c r="A812" t="str">
        <f>"000433202"</f>
        <v>000433202</v>
      </c>
      <c r="B812" t="s">
        <v>3116</v>
      </c>
      <c r="D812" t="s">
        <v>3117</v>
      </c>
      <c r="G812" t="s">
        <v>64</v>
      </c>
      <c r="H812" t="s">
        <v>39</v>
      </c>
      <c r="I812" t="s">
        <v>3118</v>
      </c>
    </row>
    <row r="813" spans="1:9" x14ac:dyDescent="0.25">
      <c r="A813" t="str">
        <f>"000431595"</f>
        <v>000431595</v>
      </c>
      <c r="B813" t="s">
        <v>3119</v>
      </c>
      <c r="D813" t="s">
        <v>3120</v>
      </c>
      <c r="G813" t="s">
        <v>64</v>
      </c>
      <c r="H813" t="s">
        <v>39</v>
      </c>
      <c r="I813" t="s">
        <v>3121</v>
      </c>
    </row>
    <row r="814" spans="1:9" x14ac:dyDescent="0.25">
      <c r="A814" t="str">
        <f>"000461071"</f>
        <v>000461071</v>
      </c>
      <c r="B814" t="s">
        <v>3122</v>
      </c>
      <c r="D814" t="s">
        <v>3123</v>
      </c>
      <c r="G814" t="s">
        <v>3124</v>
      </c>
      <c r="H814" t="s">
        <v>131</v>
      </c>
      <c r="I814" t="s">
        <v>3125</v>
      </c>
    </row>
    <row r="815" spans="1:9" x14ac:dyDescent="0.25">
      <c r="A815" t="str">
        <f>"000461833"</f>
        <v>000461833</v>
      </c>
      <c r="B815" t="s">
        <v>3126</v>
      </c>
      <c r="D815" t="s">
        <v>3127</v>
      </c>
      <c r="G815" t="s">
        <v>3128</v>
      </c>
      <c r="H815" t="s">
        <v>23</v>
      </c>
      <c r="I815" t="s">
        <v>3129</v>
      </c>
    </row>
    <row r="816" spans="1:9" x14ac:dyDescent="0.25">
      <c r="A816" t="str">
        <f>"000450143"</f>
        <v>000450143</v>
      </c>
      <c r="B816" t="s">
        <v>3130</v>
      </c>
      <c r="D816" t="s">
        <v>3131</v>
      </c>
      <c r="G816" t="s">
        <v>965</v>
      </c>
      <c r="H816" t="s">
        <v>39</v>
      </c>
      <c r="I816" t="s">
        <v>3132</v>
      </c>
    </row>
    <row r="817" spans="1:9" x14ac:dyDescent="0.25">
      <c r="A817" t="str">
        <f>"000478559"</f>
        <v>000478559</v>
      </c>
      <c r="B817" t="s">
        <v>3133</v>
      </c>
      <c r="D817" t="s">
        <v>1685</v>
      </c>
      <c r="G817" t="s">
        <v>64</v>
      </c>
      <c r="H817" t="s">
        <v>39</v>
      </c>
      <c r="I817" t="s">
        <v>3134</v>
      </c>
    </row>
    <row r="818" spans="1:9" x14ac:dyDescent="0.25">
      <c r="A818" t="str">
        <f>"000489598"</f>
        <v>000489598</v>
      </c>
      <c r="B818" t="s">
        <v>3135</v>
      </c>
      <c r="D818" t="s">
        <v>3136</v>
      </c>
      <c r="G818" t="s">
        <v>64</v>
      </c>
      <c r="H818" t="s">
        <v>39</v>
      </c>
      <c r="I818" t="s">
        <v>3137</v>
      </c>
    </row>
    <row r="819" spans="1:9" x14ac:dyDescent="0.25">
      <c r="A819" t="str">
        <f>"000490649"</f>
        <v>000490649</v>
      </c>
      <c r="B819" t="s">
        <v>3138</v>
      </c>
      <c r="D819" t="s">
        <v>3139</v>
      </c>
      <c r="G819" t="s">
        <v>64</v>
      </c>
      <c r="H819" t="s">
        <v>39</v>
      </c>
      <c r="I819" t="s">
        <v>3140</v>
      </c>
    </row>
    <row r="820" spans="1:9" x14ac:dyDescent="0.25">
      <c r="A820" t="str">
        <f>"000499332"</f>
        <v>000499332</v>
      </c>
      <c r="B820" t="s">
        <v>3141</v>
      </c>
      <c r="D820" t="s">
        <v>3142</v>
      </c>
      <c r="G820" t="s">
        <v>3143</v>
      </c>
      <c r="H820" t="s">
        <v>28</v>
      </c>
      <c r="I820" t="s">
        <v>3144</v>
      </c>
    </row>
    <row r="821" spans="1:9" x14ac:dyDescent="0.25">
      <c r="A821" t="str">
        <f>"000502407"</f>
        <v>000502407</v>
      </c>
      <c r="B821" t="s">
        <v>3145</v>
      </c>
      <c r="D821" t="s">
        <v>3146</v>
      </c>
      <c r="G821" t="s">
        <v>64</v>
      </c>
      <c r="H821" t="s">
        <v>39</v>
      </c>
      <c r="I821" t="s">
        <v>3147</v>
      </c>
    </row>
    <row r="822" spans="1:9" x14ac:dyDescent="0.25">
      <c r="A822" t="str">
        <f>"000630414"</f>
        <v>000630414</v>
      </c>
      <c r="B822" t="s">
        <v>3148</v>
      </c>
      <c r="D822" t="s">
        <v>3149</v>
      </c>
      <c r="E822" t="s">
        <v>11</v>
      </c>
      <c r="G822" t="s">
        <v>12</v>
      </c>
      <c r="H822" t="s">
        <v>13</v>
      </c>
      <c r="I822" t="s">
        <v>3150</v>
      </c>
    </row>
    <row r="823" spans="1:9" x14ac:dyDescent="0.25">
      <c r="A823" t="str">
        <f>"000635438"</f>
        <v>000635438</v>
      </c>
      <c r="B823" t="s">
        <v>3151</v>
      </c>
      <c r="D823" t="s">
        <v>3152</v>
      </c>
      <c r="E823" t="s">
        <v>3153</v>
      </c>
      <c r="G823" t="s">
        <v>3154</v>
      </c>
      <c r="H823" t="s">
        <v>70</v>
      </c>
      <c r="I823" t="s">
        <v>3155</v>
      </c>
    </row>
    <row r="824" spans="1:9" x14ac:dyDescent="0.25">
      <c r="A824" t="str">
        <f>"000482478"</f>
        <v>000482478</v>
      </c>
      <c r="B824" t="s">
        <v>3156</v>
      </c>
      <c r="D824" t="s">
        <v>3157</v>
      </c>
      <c r="E824" t="s">
        <v>3158</v>
      </c>
      <c r="G824" t="s">
        <v>3154</v>
      </c>
      <c r="H824" t="s">
        <v>70</v>
      </c>
      <c r="I824" t="s">
        <v>3159</v>
      </c>
    </row>
    <row r="825" spans="1:9" x14ac:dyDescent="0.25">
      <c r="A825" t="str">
        <f>"000661495"</f>
        <v>000661495</v>
      </c>
      <c r="B825" t="s">
        <v>3160</v>
      </c>
      <c r="D825" t="s">
        <v>3161</v>
      </c>
      <c r="G825" t="s">
        <v>64</v>
      </c>
      <c r="H825" t="s">
        <v>39</v>
      </c>
      <c r="I825" t="s">
        <v>3162</v>
      </c>
    </row>
    <row r="826" spans="1:9" x14ac:dyDescent="0.25">
      <c r="A826" t="str">
        <f>"000661637"</f>
        <v>000661637</v>
      </c>
      <c r="B826" t="s">
        <v>3163</v>
      </c>
      <c r="D826" t="s">
        <v>3164</v>
      </c>
      <c r="G826" t="s">
        <v>3165</v>
      </c>
      <c r="H826" t="s">
        <v>51</v>
      </c>
      <c r="I826" t="s">
        <v>3166</v>
      </c>
    </row>
    <row r="827" spans="1:9" x14ac:dyDescent="0.25">
      <c r="A827" t="str">
        <f>"000690418"</f>
        <v>000690418</v>
      </c>
      <c r="B827" t="s">
        <v>3167</v>
      </c>
      <c r="D827" t="s">
        <v>3168</v>
      </c>
      <c r="E827" t="s">
        <v>3169</v>
      </c>
      <c r="F827" t="s">
        <v>3170</v>
      </c>
      <c r="G827" t="s">
        <v>3171</v>
      </c>
      <c r="H827" t="s">
        <v>3172</v>
      </c>
      <c r="I827" t="s">
        <v>3173</v>
      </c>
    </row>
    <row r="828" spans="1:9" x14ac:dyDescent="0.25">
      <c r="A828" t="str">
        <f>"000698784"</f>
        <v>000698784</v>
      </c>
      <c r="B828" t="s">
        <v>3174</v>
      </c>
      <c r="D828" t="s">
        <v>3175</v>
      </c>
      <c r="G828" t="s">
        <v>64</v>
      </c>
      <c r="H828" t="s">
        <v>39</v>
      </c>
      <c r="I828" t="s">
        <v>3176</v>
      </c>
    </row>
    <row r="829" spans="1:9" x14ac:dyDescent="0.25">
      <c r="A829" t="str">
        <f>"000686305"</f>
        <v>000686305</v>
      </c>
      <c r="B829" t="s">
        <v>3177</v>
      </c>
      <c r="D829" t="s">
        <v>3178</v>
      </c>
      <c r="G829" t="s">
        <v>1247</v>
      </c>
      <c r="H829" t="s">
        <v>809</v>
      </c>
      <c r="I829" t="s">
        <v>3179</v>
      </c>
    </row>
    <row r="830" spans="1:9" x14ac:dyDescent="0.25">
      <c r="A830" t="str">
        <f>"000714791"</f>
        <v>000714791</v>
      </c>
      <c r="B830" t="s">
        <v>3180</v>
      </c>
      <c r="D830" t="s">
        <v>3181</v>
      </c>
      <c r="E830" t="s">
        <v>3182</v>
      </c>
      <c r="G830" t="s">
        <v>949</v>
      </c>
      <c r="H830" t="s">
        <v>34</v>
      </c>
      <c r="I830" t="s">
        <v>3183</v>
      </c>
    </row>
    <row r="831" spans="1:9" x14ac:dyDescent="0.25">
      <c r="A831" t="str">
        <f>"000745191"</f>
        <v>000745191</v>
      </c>
      <c r="B831" t="s">
        <v>3184</v>
      </c>
      <c r="D831" t="s">
        <v>3185</v>
      </c>
      <c r="G831" t="s">
        <v>64</v>
      </c>
      <c r="H831" t="s">
        <v>39</v>
      </c>
      <c r="I831" t="s">
        <v>3186</v>
      </c>
    </row>
    <row r="832" spans="1:9" x14ac:dyDescent="0.25">
      <c r="A832" t="str">
        <f>"000743843"</f>
        <v>000743843</v>
      </c>
      <c r="B832" t="s">
        <v>3187</v>
      </c>
      <c r="D832" t="s">
        <v>3188</v>
      </c>
      <c r="G832" t="s">
        <v>165</v>
      </c>
      <c r="H832" t="s">
        <v>166</v>
      </c>
      <c r="I832" t="s">
        <v>3189</v>
      </c>
    </row>
    <row r="833" spans="1:9" x14ac:dyDescent="0.25">
      <c r="A833" t="str">
        <f>"000745174"</f>
        <v>000745174</v>
      </c>
      <c r="B833" t="s">
        <v>3190</v>
      </c>
      <c r="D833" t="s">
        <v>3191</v>
      </c>
      <c r="G833" t="s">
        <v>3192</v>
      </c>
      <c r="H833" t="s">
        <v>28</v>
      </c>
      <c r="I833" t="s">
        <v>3193</v>
      </c>
    </row>
    <row r="834" spans="1:9" x14ac:dyDescent="0.25">
      <c r="A834" t="str">
        <f>"000743522"</f>
        <v>000743522</v>
      </c>
      <c r="B834" t="s">
        <v>3194</v>
      </c>
      <c r="D834" t="s">
        <v>3195</v>
      </c>
      <c r="G834" t="s">
        <v>90</v>
      </c>
      <c r="H834" t="s">
        <v>827</v>
      </c>
      <c r="I834" t="s">
        <v>3196</v>
      </c>
    </row>
    <row r="835" spans="1:9" x14ac:dyDescent="0.25">
      <c r="A835" t="str">
        <f>"000747345"</f>
        <v>000747345</v>
      </c>
      <c r="B835" t="s">
        <v>3197</v>
      </c>
      <c r="D835" t="s">
        <v>3198</v>
      </c>
      <c r="G835" t="s">
        <v>170</v>
      </c>
      <c r="H835" t="s">
        <v>171</v>
      </c>
      <c r="I835" t="s">
        <v>3199</v>
      </c>
    </row>
    <row r="836" spans="1:9" x14ac:dyDescent="0.25">
      <c r="A836" t="str">
        <f>"000748626"</f>
        <v>000748626</v>
      </c>
      <c r="B836" t="s">
        <v>3200</v>
      </c>
      <c r="D836" t="s">
        <v>3201</v>
      </c>
      <c r="G836" t="s">
        <v>64</v>
      </c>
      <c r="H836" t="s">
        <v>39</v>
      </c>
      <c r="I836" t="s">
        <v>3202</v>
      </c>
    </row>
    <row r="837" spans="1:9" x14ac:dyDescent="0.25">
      <c r="A837" t="str">
        <f>"000753600"</f>
        <v>000753600</v>
      </c>
      <c r="B837" t="s">
        <v>3203</v>
      </c>
      <c r="D837" t="s">
        <v>3204</v>
      </c>
      <c r="G837" t="s">
        <v>64</v>
      </c>
      <c r="H837" t="s">
        <v>39</v>
      </c>
      <c r="I837" t="s">
        <v>3205</v>
      </c>
    </row>
    <row r="838" spans="1:9" x14ac:dyDescent="0.25">
      <c r="A838" t="str">
        <f>"000769371"</f>
        <v>000769371</v>
      </c>
      <c r="B838" t="s">
        <v>3206</v>
      </c>
      <c r="D838" t="s">
        <v>3207</v>
      </c>
      <c r="E838" t="s">
        <v>3208</v>
      </c>
      <c r="G838" t="s">
        <v>723</v>
      </c>
      <c r="H838" t="s">
        <v>182</v>
      </c>
      <c r="I838" t="s">
        <v>3209</v>
      </c>
    </row>
    <row r="839" spans="1:9" x14ac:dyDescent="0.25">
      <c r="A839" t="str">
        <f>"000792644"</f>
        <v>000792644</v>
      </c>
      <c r="B839" t="s">
        <v>3210</v>
      </c>
      <c r="D839" t="s">
        <v>3211</v>
      </c>
      <c r="G839" t="s">
        <v>2048</v>
      </c>
      <c r="H839" t="s">
        <v>23</v>
      </c>
      <c r="I839" t="s">
        <v>3212</v>
      </c>
    </row>
    <row r="840" spans="1:9" x14ac:dyDescent="0.25">
      <c r="A840" t="str">
        <f>"000787507"</f>
        <v>000787507</v>
      </c>
      <c r="B840" t="s">
        <v>3213</v>
      </c>
      <c r="D840" t="s">
        <v>3214</v>
      </c>
      <c r="E840" t="s">
        <v>3215</v>
      </c>
      <c r="G840" t="s">
        <v>60</v>
      </c>
      <c r="H840" t="s">
        <v>28</v>
      </c>
      <c r="I840" t="s">
        <v>3216</v>
      </c>
    </row>
    <row r="841" spans="1:9" x14ac:dyDescent="0.25">
      <c r="A841" t="str">
        <f>"000818796"</f>
        <v>000818796</v>
      </c>
      <c r="B841" t="s">
        <v>3217</v>
      </c>
      <c r="D841" t="s">
        <v>3218</v>
      </c>
      <c r="G841" t="s">
        <v>64</v>
      </c>
      <c r="H841" t="s">
        <v>39</v>
      </c>
      <c r="I841" t="s">
        <v>3219</v>
      </c>
    </row>
    <row r="842" spans="1:9" x14ac:dyDescent="0.25">
      <c r="A842" t="str">
        <f>"000822092"</f>
        <v>000822092</v>
      </c>
      <c r="B842" t="s">
        <v>3220</v>
      </c>
      <c r="D842" t="s">
        <v>3221</v>
      </c>
      <c r="G842" t="s">
        <v>60</v>
      </c>
      <c r="H842" t="s">
        <v>28</v>
      </c>
      <c r="I842" t="s">
        <v>3222</v>
      </c>
    </row>
    <row r="843" spans="1:9" x14ac:dyDescent="0.25">
      <c r="A843" t="str">
        <f>"000830294"</f>
        <v>000830294</v>
      </c>
      <c r="B843" t="s">
        <v>3223</v>
      </c>
      <c r="D843" t="s">
        <v>3224</v>
      </c>
      <c r="G843" t="s">
        <v>1022</v>
      </c>
      <c r="H843" t="s">
        <v>34</v>
      </c>
      <c r="I843" t="s">
        <v>3225</v>
      </c>
    </row>
    <row r="844" spans="1:9" x14ac:dyDescent="0.25">
      <c r="A844" t="str">
        <f>"000844345"</f>
        <v>000844345</v>
      </c>
      <c r="B844" t="s">
        <v>3226</v>
      </c>
      <c r="D844" t="s">
        <v>3227</v>
      </c>
      <c r="G844" t="s">
        <v>1844</v>
      </c>
      <c r="H844" t="s">
        <v>28</v>
      </c>
      <c r="I844" t="s">
        <v>3228</v>
      </c>
    </row>
    <row r="845" spans="1:9" x14ac:dyDescent="0.25">
      <c r="A845" t="str">
        <f>"000904658"</f>
        <v>000904658</v>
      </c>
      <c r="B845" t="s">
        <v>3229</v>
      </c>
      <c r="D845" t="s">
        <v>3230</v>
      </c>
      <c r="G845" t="s">
        <v>275</v>
      </c>
      <c r="H845" t="s">
        <v>23</v>
      </c>
      <c r="I845" t="s">
        <v>3231</v>
      </c>
    </row>
    <row r="846" spans="1:9" x14ac:dyDescent="0.25">
      <c r="A846" t="str">
        <f>"000899275"</f>
        <v>000899275</v>
      </c>
      <c r="B846" t="s">
        <v>3232</v>
      </c>
      <c r="D846" t="s">
        <v>3233</v>
      </c>
      <c r="G846" t="s">
        <v>3234</v>
      </c>
      <c r="H846" t="s">
        <v>131</v>
      </c>
      <c r="I846" t="s">
        <v>3235</v>
      </c>
    </row>
    <row r="847" spans="1:9" x14ac:dyDescent="0.25">
      <c r="A847" t="str">
        <f>"000911415"</f>
        <v>000911415</v>
      </c>
      <c r="B847" t="s">
        <v>3236</v>
      </c>
      <c r="D847" t="s">
        <v>3237</v>
      </c>
      <c r="G847" t="s">
        <v>64</v>
      </c>
      <c r="H847" t="s">
        <v>39</v>
      </c>
      <c r="I847" t="s">
        <v>3238</v>
      </c>
    </row>
    <row r="848" spans="1:9" x14ac:dyDescent="0.25">
      <c r="A848" t="str">
        <f>"000907660"</f>
        <v>000907660</v>
      </c>
      <c r="B848" t="s">
        <v>3239</v>
      </c>
      <c r="D848" t="s">
        <v>3240</v>
      </c>
      <c r="G848" t="s">
        <v>64</v>
      </c>
      <c r="H848" t="s">
        <v>39</v>
      </c>
      <c r="I848" t="s">
        <v>3241</v>
      </c>
    </row>
    <row r="849" spans="1:9" x14ac:dyDescent="0.25">
      <c r="A849" t="str">
        <f>"000949412"</f>
        <v>000949412</v>
      </c>
      <c r="B849" t="s">
        <v>3242</v>
      </c>
      <c r="D849" t="s">
        <v>3243</v>
      </c>
      <c r="E849" t="s">
        <v>3244</v>
      </c>
      <c r="G849" t="s">
        <v>64</v>
      </c>
      <c r="H849" t="s">
        <v>39</v>
      </c>
      <c r="I849" t="s">
        <v>3245</v>
      </c>
    </row>
    <row r="850" spans="1:9" x14ac:dyDescent="0.25">
      <c r="A850" t="str">
        <f>"001044499"</f>
        <v>001044499</v>
      </c>
      <c r="B850" t="s">
        <v>3246</v>
      </c>
      <c r="D850" t="s">
        <v>3247</v>
      </c>
      <c r="E850" t="s">
        <v>3248</v>
      </c>
      <c r="G850" t="s">
        <v>3249</v>
      </c>
      <c r="H850" t="s">
        <v>39</v>
      </c>
      <c r="I850" t="s">
        <v>3250</v>
      </c>
    </row>
    <row r="851" spans="1:9" x14ac:dyDescent="0.25">
      <c r="A851" t="str">
        <f>"001003133"</f>
        <v>001003133</v>
      </c>
      <c r="B851" t="s">
        <v>3251</v>
      </c>
      <c r="D851" t="s">
        <v>3252</v>
      </c>
      <c r="E851" t="s">
        <v>3253</v>
      </c>
      <c r="G851" t="s">
        <v>740</v>
      </c>
      <c r="H851" t="s">
        <v>84</v>
      </c>
      <c r="I851" t="s">
        <v>3254</v>
      </c>
    </row>
    <row r="852" spans="1:9" x14ac:dyDescent="0.25">
      <c r="A852" t="str">
        <f>"001003704"</f>
        <v>001003704</v>
      </c>
      <c r="B852" t="s">
        <v>3255</v>
      </c>
      <c r="D852" t="s">
        <v>3256</v>
      </c>
      <c r="G852" t="s">
        <v>3257</v>
      </c>
      <c r="H852" t="s">
        <v>131</v>
      </c>
      <c r="I852" t="s">
        <v>3258</v>
      </c>
    </row>
    <row r="853" spans="1:9" x14ac:dyDescent="0.25">
      <c r="A853" t="str">
        <f>"000979152"</f>
        <v>000979152</v>
      </c>
      <c r="B853" t="s">
        <v>3259</v>
      </c>
      <c r="D853" t="s">
        <v>3260</v>
      </c>
      <c r="G853" t="s">
        <v>3261</v>
      </c>
      <c r="H853" t="s">
        <v>28</v>
      </c>
      <c r="I853" t="s">
        <v>3262</v>
      </c>
    </row>
    <row r="854" spans="1:9" x14ac:dyDescent="0.25">
      <c r="A854" t="str">
        <f>"001041913"</f>
        <v>001041913</v>
      </c>
      <c r="B854" t="s">
        <v>3263</v>
      </c>
      <c r="D854" t="s">
        <v>3264</v>
      </c>
      <c r="G854" t="s">
        <v>64</v>
      </c>
      <c r="H854" t="s">
        <v>39</v>
      </c>
      <c r="I854" t="s">
        <v>3265</v>
      </c>
    </row>
    <row r="855" spans="1:9" x14ac:dyDescent="0.25">
      <c r="A855" t="str">
        <f>"000992052"</f>
        <v>000992052</v>
      </c>
      <c r="B855" t="s">
        <v>3266</v>
      </c>
      <c r="D855" t="s">
        <v>3267</v>
      </c>
      <c r="G855" t="s">
        <v>481</v>
      </c>
      <c r="H855" t="s">
        <v>75</v>
      </c>
      <c r="I855" t="s">
        <v>3268</v>
      </c>
    </row>
    <row r="856" spans="1:9" x14ac:dyDescent="0.25">
      <c r="A856" t="str">
        <f>"001059132"</f>
        <v>001059132</v>
      </c>
      <c r="B856" t="s">
        <v>3269</v>
      </c>
      <c r="D856" t="s">
        <v>3270</v>
      </c>
      <c r="G856" t="s">
        <v>1039</v>
      </c>
      <c r="H856" t="s">
        <v>182</v>
      </c>
      <c r="I856" t="s">
        <v>3271</v>
      </c>
    </row>
    <row r="857" spans="1:9" x14ac:dyDescent="0.25">
      <c r="A857" t="str">
        <f>"001043567"</f>
        <v>001043567</v>
      </c>
      <c r="B857" t="s">
        <v>3272</v>
      </c>
      <c r="D857" t="s">
        <v>3273</v>
      </c>
      <c r="E857" t="s">
        <v>3274</v>
      </c>
      <c r="G857" t="s">
        <v>3275</v>
      </c>
      <c r="H857" t="s">
        <v>1234</v>
      </c>
      <c r="I857" t="s">
        <v>3276</v>
      </c>
    </row>
    <row r="858" spans="1:9" x14ac:dyDescent="0.25">
      <c r="A858" t="str">
        <f>"001035523"</f>
        <v>001035523</v>
      </c>
      <c r="B858" t="s">
        <v>3277</v>
      </c>
      <c r="D858" t="s">
        <v>3278</v>
      </c>
      <c r="E858" t="s">
        <v>3279</v>
      </c>
      <c r="G858" t="s">
        <v>3280</v>
      </c>
      <c r="I858" t="s">
        <v>1449</v>
      </c>
    </row>
    <row r="859" spans="1:9" x14ac:dyDescent="0.25">
      <c r="A859" t="str">
        <f>"001037245"</f>
        <v>001037245</v>
      </c>
      <c r="B859" t="s">
        <v>3281</v>
      </c>
      <c r="D859" t="s">
        <v>3282</v>
      </c>
      <c r="G859" t="s">
        <v>64</v>
      </c>
      <c r="H859" t="s">
        <v>39</v>
      </c>
      <c r="I859" t="s">
        <v>3283</v>
      </c>
    </row>
    <row r="860" spans="1:9" x14ac:dyDescent="0.25">
      <c r="A860" t="str">
        <f>"000987794"</f>
        <v>000987794</v>
      </c>
      <c r="B860" t="s">
        <v>3284</v>
      </c>
      <c r="D860" t="s">
        <v>3285</v>
      </c>
      <c r="G860" t="s">
        <v>550</v>
      </c>
      <c r="H860" t="s">
        <v>39</v>
      </c>
      <c r="I860" t="s">
        <v>3286</v>
      </c>
    </row>
    <row r="861" spans="1:9" x14ac:dyDescent="0.25">
      <c r="A861" t="str">
        <f>"001010641"</f>
        <v>001010641</v>
      </c>
      <c r="B861" t="s">
        <v>3287</v>
      </c>
      <c r="D861" t="s">
        <v>3288</v>
      </c>
      <c r="G861" t="s">
        <v>64</v>
      </c>
      <c r="H861" t="s">
        <v>39</v>
      </c>
      <c r="I861">
        <v>63104</v>
      </c>
    </row>
    <row r="862" spans="1:9" x14ac:dyDescent="0.25">
      <c r="A862" t="str">
        <f>"001040734"</f>
        <v>001040734</v>
      </c>
      <c r="B862" t="s">
        <v>3289</v>
      </c>
      <c r="D862" t="s">
        <v>3290</v>
      </c>
      <c r="E862" t="s">
        <v>3291</v>
      </c>
      <c r="F862" t="s">
        <v>3292</v>
      </c>
      <c r="G862" t="s">
        <v>83</v>
      </c>
      <c r="H862" t="s">
        <v>84</v>
      </c>
      <c r="I862" t="s">
        <v>3293</v>
      </c>
    </row>
    <row r="863" spans="1:9" x14ac:dyDescent="0.25">
      <c r="A863" t="str">
        <f>"000969895"</f>
        <v>000969895</v>
      </c>
      <c r="B863" t="s">
        <v>3294</v>
      </c>
      <c r="D863" t="s">
        <v>3295</v>
      </c>
      <c r="G863" t="s">
        <v>1095</v>
      </c>
      <c r="H863" t="s">
        <v>28</v>
      </c>
      <c r="I863" t="s">
        <v>3296</v>
      </c>
    </row>
    <row r="864" spans="1:9" x14ac:dyDescent="0.25">
      <c r="A864" t="str">
        <f>"000983493"</f>
        <v>000983493</v>
      </c>
      <c r="B864" t="s">
        <v>3297</v>
      </c>
      <c r="D864" t="s">
        <v>3298</v>
      </c>
      <c r="G864" t="s">
        <v>3299</v>
      </c>
      <c r="H864" t="s">
        <v>166</v>
      </c>
      <c r="I864" t="s">
        <v>3300</v>
      </c>
    </row>
    <row r="865" spans="1:9" x14ac:dyDescent="0.25">
      <c r="A865" t="str">
        <f>"001003375"</f>
        <v>001003375</v>
      </c>
      <c r="B865" t="s">
        <v>3301</v>
      </c>
      <c r="D865" t="s">
        <v>3302</v>
      </c>
      <c r="G865" t="s">
        <v>3303</v>
      </c>
      <c r="H865" t="s">
        <v>120</v>
      </c>
      <c r="I865" t="s">
        <v>3304</v>
      </c>
    </row>
    <row r="866" spans="1:9" x14ac:dyDescent="0.25">
      <c r="A866" t="str">
        <f>"000957776"</f>
        <v>000957776</v>
      </c>
      <c r="B866" t="s">
        <v>3305</v>
      </c>
      <c r="D866" t="s">
        <v>3306</v>
      </c>
      <c r="G866" t="s">
        <v>165</v>
      </c>
      <c r="H866" t="s">
        <v>166</v>
      </c>
      <c r="I866" t="s">
        <v>3307</v>
      </c>
    </row>
    <row r="867" spans="1:9" x14ac:dyDescent="0.25">
      <c r="A867" t="str">
        <f>"001018667"</f>
        <v>001018667</v>
      </c>
      <c r="B867" t="s">
        <v>3308</v>
      </c>
      <c r="D867" t="s">
        <v>3309</v>
      </c>
      <c r="E867" t="s">
        <v>3310</v>
      </c>
      <c r="G867" t="s">
        <v>382</v>
      </c>
      <c r="I867" t="s">
        <v>3311</v>
      </c>
    </row>
    <row r="868" spans="1:9" x14ac:dyDescent="0.25">
      <c r="A868" t="str">
        <f>"001049325"</f>
        <v>001049325</v>
      </c>
      <c r="B868" t="s">
        <v>3312</v>
      </c>
      <c r="D868" t="s">
        <v>3313</v>
      </c>
      <c r="E868" t="s">
        <v>3314</v>
      </c>
      <c r="G868" t="s">
        <v>64</v>
      </c>
      <c r="H868" t="s">
        <v>39</v>
      </c>
      <c r="I868">
        <v>63178</v>
      </c>
    </row>
    <row r="869" spans="1:9" x14ac:dyDescent="0.25">
      <c r="A869" t="str">
        <f>"001053975"</f>
        <v>001053975</v>
      </c>
      <c r="B869" t="s">
        <v>3315</v>
      </c>
      <c r="D869" t="s">
        <v>3316</v>
      </c>
      <c r="E869" t="s">
        <v>3317</v>
      </c>
      <c r="G869" t="s">
        <v>64</v>
      </c>
      <c r="H869" t="s">
        <v>39</v>
      </c>
      <c r="I869" t="s">
        <v>3318</v>
      </c>
    </row>
    <row r="870" spans="1:9" x14ac:dyDescent="0.25">
      <c r="A870" t="str">
        <f>"001051055"</f>
        <v>001051055</v>
      </c>
      <c r="B870" t="s">
        <v>3319</v>
      </c>
      <c r="D870" t="s">
        <v>3320</v>
      </c>
      <c r="E870" t="s">
        <v>3321</v>
      </c>
      <c r="G870" t="s">
        <v>64</v>
      </c>
      <c r="H870" t="s">
        <v>39</v>
      </c>
      <c r="I870" t="s">
        <v>3322</v>
      </c>
    </row>
    <row r="871" spans="1:9" x14ac:dyDescent="0.25">
      <c r="A871" t="str">
        <f>"001047117"</f>
        <v>001047117</v>
      </c>
      <c r="B871" t="s">
        <v>3323</v>
      </c>
      <c r="D871" t="s">
        <v>3324</v>
      </c>
      <c r="E871" t="s">
        <v>3325</v>
      </c>
      <c r="G871" t="s">
        <v>3326</v>
      </c>
      <c r="H871" t="s">
        <v>13</v>
      </c>
      <c r="I871" t="s">
        <v>3327</v>
      </c>
    </row>
    <row r="872" spans="1:9" x14ac:dyDescent="0.25">
      <c r="A872" t="str">
        <f>"001039677"</f>
        <v>001039677</v>
      </c>
      <c r="B872" t="s">
        <v>3328</v>
      </c>
      <c r="D872" t="s">
        <v>3329</v>
      </c>
      <c r="G872" t="s">
        <v>1805</v>
      </c>
      <c r="H872" t="s">
        <v>513</v>
      </c>
      <c r="I872" t="s">
        <v>3330</v>
      </c>
    </row>
    <row r="873" spans="1:9" x14ac:dyDescent="0.25">
      <c r="A873" t="str">
        <f>"001040151"</f>
        <v>001040151</v>
      </c>
      <c r="B873" t="s">
        <v>3331</v>
      </c>
      <c r="D873" t="s">
        <v>3332</v>
      </c>
      <c r="G873" t="s">
        <v>956</v>
      </c>
      <c r="H873" t="s">
        <v>957</v>
      </c>
      <c r="I873" t="s">
        <v>3333</v>
      </c>
    </row>
    <row r="874" spans="1:9" x14ac:dyDescent="0.25">
      <c r="A874" t="str">
        <f>"001035284"</f>
        <v>001035284</v>
      </c>
      <c r="B874" t="s">
        <v>3334</v>
      </c>
      <c r="D874" t="s">
        <v>3335</v>
      </c>
      <c r="G874" t="s">
        <v>1556</v>
      </c>
      <c r="H874" t="s">
        <v>34</v>
      </c>
      <c r="I874" t="s">
        <v>3336</v>
      </c>
    </row>
    <row r="875" spans="1:9" x14ac:dyDescent="0.25">
      <c r="A875" t="str">
        <f>"001020921"</f>
        <v>001020921</v>
      </c>
      <c r="B875" t="s">
        <v>3337</v>
      </c>
      <c r="D875" t="s">
        <v>3338</v>
      </c>
      <c r="G875" t="s">
        <v>214</v>
      </c>
      <c r="H875" t="s">
        <v>120</v>
      </c>
      <c r="I875" t="s">
        <v>3339</v>
      </c>
    </row>
    <row r="876" spans="1:9" x14ac:dyDescent="0.25">
      <c r="A876" t="str">
        <f>"001015527"</f>
        <v>001015527</v>
      </c>
      <c r="B876" t="s">
        <v>3340</v>
      </c>
      <c r="D876" t="s">
        <v>3341</v>
      </c>
      <c r="E876" t="s">
        <v>1094</v>
      </c>
      <c r="G876" t="s">
        <v>1095</v>
      </c>
      <c r="H876" t="s">
        <v>28</v>
      </c>
      <c r="I876" t="s">
        <v>3342</v>
      </c>
    </row>
    <row r="877" spans="1:9" x14ac:dyDescent="0.25">
      <c r="A877" t="str">
        <f>"001052717"</f>
        <v>001052717</v>
      </c>
      <c r="B877" t="s">
        <v>3343</v>
      </c>
      <c r="D877" t="s">
        <v>3344</v>
      </c>
      <c r="G877" t="s">
        <v>1113</v>
      </c>
      <c r="H877" t="s">
        <v>34</v>
      </c>
      <c r="I877" t="s">
        <v>3345</v>
      </c>
    </row>
    <row r="878" spans="1:9" x14ac:dyDescent="0.25">
      <c r="A878" t="str">
        <f>"001032815"</f>
        <v>001032815</v>
      </c>
      <c r="B878" t="s">
        <v>3346</v>
      </c>
      <c r="D878" t="s">
        <v>3347</v>
      </c>
      <c r="G878" t="s">
        <v>64</v>
      </c>
      <c r="H878" t="s">
        <v>39</v>
      </c>
      <c r="I878" t="s">
        <v>3348</v>
      </c>
    </row>
    <row r="879" spans="1:9" x14ac:dyDescent="0.25">
      <c r="A879" t="str">
        <f>"001020646"</f>
        <v>001020646</v>
      </c>
      <c r="B879" t="s">
        <v>3349</v>
      </c>
      <c r="D879" t="s">
        <v>3350</v>
      </c>
      <c r="G879" t="s">
        <v>64</v>
      </c>
      <c r="H879" t="s">
        <v>39</v>
      </c>
      <c r="I879" t="s">
        <v>3351</v>
      </c>
    </row>
    <row r="880" spans="1:9" x14ac:dyDescent="0.25">
      <c r="A880" t="str">
        <f>"001021794"</f>
        <v>001021794</v>
      </c>
      <c r="B880" t="s">
        <v>3352</v>
      </c>
      <c r="D880" t="s">
        <v>3353</v>
      </c>
      <c r="G880" t="s">
        <v>3354</v>
      </c>
      <c r="H880" t="s">
        <v>540</v>
      </c>
      <c r="I880" t="s">
        <v>3355</v>
      </c>
    </row>
    <row r="881" spans="1:9" x14ac:dyDescent="0.25">
      <c r="A881" t="str">
        <f>"001029048"</f>
        <v>001029048</v>
      </c>
      <c r="B881" t="s">
        <v>3356</v>
      </c>
      <c r="D881" t="s">
        <v>3357</v>
      </c>
      <c r="G881" t="s">
        <v>3358</v>
      </c>
      <c r="H881" t="s">
        <v>221</v>
      </c>
      <c r="I881" t="s">
        <v>3359</v>
      </c>
    </row>
    <row r="882" spans="1:9" x14ac:dyDescent="0.25">
      <c r="A882" t="str">
        <f>"001029050"</f>
        <v>001029050</v>
      </c>
      <c r="B882" t="s">
        <v>3360</v>
      </c>
      <c r="D882" t="s">
        <v>3361</v>
      </c>
      <c r="E882" t="s">
        <v>3362</v>
      </c>
      <c r="G882" t="s">
        <v>1745</v>
      </c>
      <c r="H882" t="s">
        <v>120</v>
      </c>
      <c r="I882" t="s">
        <v>3363</v>
      </c>
    </row>
    <row r="883" spans="1:9" x14ac:dyDescent="0.25">
      <c r="A883" t="str">
        <f>"001024978"</f>
        <v>001024978</v>
      </c>
      <c r="B883" t="s">
        <v>3364</v>
      </c>
      <c r="D883" t="s">
        <v>3365</v>
      </c>
      <c r="G883" t="s">
        <v>3366</v>
      </c>
      <c r="H883" t="s">
        <v>84</v>
      </c>
      <c r="I883" t="s">
        <v>3367</v>
      </c>
    </row>
    <row r="884" spans="1:9" x14ac:dyDescent="0.25">
      <c r="A884" t="str">
        <f>"001019080"</f>
        <v>001019080</v>
      </c>
      <c r="B884" t="s">
        <v>3368</v>
      </c>
      <c r="D884" t="s">
        <v>3369</v>
      </c>
      <c r="G884" t="s">
        <v>3370</v>
      </c>
      <c r="H884" t="s">
        <v>477</v>
      </c>
      <c r="I884" t="s">
        <v>3371</v>
      </c>
    </row>
    <row r="885" spans="1:9" x14ac:dyDescent="0.25">
      <c r="A885" t="str">
        <f>"000953396"</f>
        <v>000953396</v>
      </c>
      <c r="B885" t="s">
        <v>3372</v>
      </c>
      <c r="D885" t="s">
        <v>3373</v>
      </c>
      <c r="G885" t="s">
        <v>60</v>
      </c>
      <c r="H885" t="s">
        <v>28</v>
      </c>
      <c r="I885" t="s">
        <v>3374</v>
      </c>
    </row>
    <row r="886" spans="1:9" x14ac:dyDescent="0.25">
      <c r="A886" t="str">
        <f>"001040006"</f>
        <v>001040006</v>
      </c>
      <c r="B886" t="s">
        <v>3375</v>
      </c>
      <c r="D886" t="s">
        <v>3376</v>
      </c>
      <c r="G886" t="s">
        <v>3377</v>
      </c>
      <c r="H886" t="s">
        <v>182</v>
      </c>
      <c r="I886" t="s">
        <v>3378</v>
      </c>
    </row>
    <row r="887" spans="1:9" x14ac:dyDescent="0.25">
      <c r="A887" t="str">
        <f>"001015565"</f>
        <v>001015565</v>
      </c>
      <c r="B887" t="s">
        <v>3379</v>
      </c>
      <c r="D887" t="s">
        <v>3380</v>
      </c>
      <c r="E887" t="s">
        <v>3381</v>
      </c>
      <c r="G887" t="s">
        <v>740</v>
      </c>
      <c r="H887" t="s">
        <v>84</v>
      </c>
      <c r="I887" t="s">
        <v>3382</v>
      </c>
    </row>
    <row r="888" spans="1:9" x14ac:dyDescent="0.25">
      <c r="A888" t="str">
        <f>"001042383"</f>
        <v>001042383</v>
      </c>
      <c r="B888" t="s">
        <v>3383</v>
      </c>
      <c r="D888" t="s">
        <v>3384</v>
      </c>
      <c r="G888" t="s">
        <v>3385</v>
      </c>
      <c r="I888" t="s">
        <v>3386</v>
      </c>
    </row>
    <row r="889" spans="1:9" x14ac:dyDescent="0.25">
      <c r="A889" t="str">
        <f>"001006386"</f>
        <v>001006386</v>
      </c>
      <c r="B889" t="s">
        <v>3387</v>
      </c>
      <c r="D889" t="s">
        <v>3388</v>
      </c>
      <c r="G889" t="s">
        <v>165</v>
      </c>
      <c r="H889" t="s">
        <v>166</v>
      </c>
      <c r="I889" t="s">
        <v>3389</v>
      </c>
    </row>
    <row r="890" spans="1:9" x14ac:dyDescent="0.25">
      <c r="A890" t="str">
        <f>"001029254"</f>
        <v>001029254</v>
      </c>
      <c r="B890" t="s">
        <v>3390</v>
      </c>
      <c r="D890" t="s">
        <v>3391</v>
      </c>
      <c r="G890" t="s">
        <v>1265</v>
      </c>
      <c r="H890" t="s">
        <v>182</v>
      </c>
      <c r="I890" t="s">
        <v>3392</v>
      </c>
    </row>
    <row r="891" spans="1:9" x14ac:dyDescent="0.25">
      <c r="A891" t="str">
        <f>"000993554"</f>
        <v>000993554</v>
      </c>
      <c r="B891" t="s">
        <v>3393</v>
      </c>
      <c r="D891" t="s">
        <v>3394</v>
      </c>
      <c r="G891" t="s">
        <v>69</v>
      </c>
      <c r="H891" t="s">
        <v>70</v>
      </c>
      <c r="I891" t="s">
        <v>3395</v>
      </c>
    </row>
    <row r="892" spans="1:9" x14ac:dyDescent="0.25">
      <c r="A892" t="str">
        <f>"001062708"</f>
        <v>001062708</v>
      </c>
      <c r="B892" t="s">
        <v>3396</v>
      </c>
      <c r="D892" t="s">
        <v>3397</v>
      </c>
      <c r="E892" t="s">
        <v>3398</v>
      </c>
      <c r="G892" t="s">
        <v>170</v>
      </c>
      <c r="H892" t="s">
        <v>171</v>
      </c>
      <c r="I892" t="s">
        <v>3399</v>
      </c>
    </row>
    <row r="893" spans="1:9" x14ac:dyDescent="0.25">
      <c r="A893" t="str">
        <f>"000986367"</f>
        <v>000986367</v>
      </c>
      <c r="B893" t="s">
        <v>3400</v>
      </c>
      <c r="D893" t="s">
        <v>3401</v>
      </c>
      <c r="E893" t="s">
        <v>3402</v>
      </c>
      <c r="G893" t="s">
        <v>1342</v>
      </c>
      <c r="H893" t="s">
        <v>1343</v>
      </c>
      <c r="I893" t="s">
        <v>3403</v>
      </c>
    </row>
    <row r="894" spans="1:9" x14ac:dyDescent="0.25">
      <c r="A894" t="str">
        <f>"000958004"</f>
        <v>000958004</v>
      </c>
      <c r="B894" t="s">
        <v>3404</v>
      </c>
      <c r="D894" t="s">
        <v>3405</v>
      </c>
      <c r="E894" t="s">
        <v>3406</v>
      </c>
      <c r="F894" t="s">
        <v>3407</v>
      </c>
      <c r="G894" t="s">
        <v>60</v>
      </c>
      <c r="H894" t="s">
        <v>28</v>
      </c>
      <c r="I894" t="s">
        <v>3408</v>
      </c>
    </row>
    <row r="895" spans="1:9" x14ac:dyDescent="0.25">
      <c r="A895" t="str">
        <f>"001006097"</f>
        <v>001006097</v>
      </c>
      <c r="B895" t="s">
        <v>3409</v>
      </c>
      <c r="D895" t="s">
        <v>3410</v>
      </c>
      <c r="G895" t="s">
        <v>64</v>
      </c>
      <c r="H895" t="s">
        <v>39</v>
      </c>
      <c r="I895" t="s">
        <v>3411</v>
      </c>
    </row>
    <row r="896" spans="1:9" x14ac:dyDescent="0.25">
      <c r="A896" t="str">
        <f>"001053179"</f>
        <v>001053179</v>
      </c>
      <c r="B896" t="s">
        <v>3412</v>
      </c>
      <c r="D896" t="s">
        <v>3413</v>
      </c>
      <c r="G896" t="s">
        <v>3165</v>
      </c>
      <c r="H896" t="s">
        <v>51</v>
      </c>
      <c r="I896" t="s">
        <v>3414</v>
      </c>
    </row>
    <row r="897" spans="1:9" x14ac:dyDescent="0.25">
      <c r="A897" t="str">
        <f>"001035428"</f>
        <v>001035428</v>
      </c>
      <c r="B897" t="s">
        <v>3415</v>
      </c>
      <c r="D897" t="s">
        <v>3416</v>
      </c>
      <c r="G897" t="s">
        <v>3417</v>
      </c>
      <c r="H897" t="s">
        <v>879</v>
      </c>
      <c r="I897" t="s">
        <v>3418</v>
      </c>
    </row>
    <row r="898" spans="1:9" x14ac:dyDescent="0.25">
      <c r="A898" t="str">
        <f>"001011726"</f>
        <v>001011726</v>
      </c>
      <c r="B898" t="s">
        <v>3419</v>
      </c>
      <c r="D898" t="s">
        <v>3420</v>
      </c>
      <c r="E898" t="s">
        <v>3421</v>
      </c>
      <c r="G898" t="s">
        <v>64</v>
      </c>
      <c r="H898" t="s">
        <v>39</v>
      </c>
      <c r="I898" t="s">
        <v>3422</v>
      </c>
    </row>
    <row r="899" spans="1:9" x14ac:dyDescent="0.25">
      <c r="A899" t="str">
        <f>"000991341"</f>
        <v>000991341</v>
      </c>
      <c r="B899" t="s">
        <v>3423</v>
      </c>
      <c r="D899" t="s">
        <v>3424</v>
      </c>
      <c r="G899" t="s">
        <v>3425</v>
      </c>
      <c r="H899" t="s">
        <v>13</v>
      </c>
      <c r="I899" t="s">
        <v>3426</v>
      </c>
    </row>
    <row r="900" spans="1:9" x14ac:dyDescent="0.25">
      <c r="A900" t="str">
        <f>"001052657"</f>
        <v>001052657</v>
      </c>
      <c r="B900" t="s">
        <v>3427</v>
      </c>
      <c r="D900" t="s">
        <v>3428</v>
      </c>
      <c r="G900" t="s">
        <v>678</v>
      </c>
      <c r="H900" t="s">
        <v>28</v>
      </c>
      <c r="I900" t="s">
        <v>3429</v>
      </c>
    </row>
    <row r="901" spans="1:9" x14ac:dyDescent="0.25">
      <c r="A901" t="str">
        <f>"001071754"</f>
        <v>001071754</v>
      </c>
      <c r="B901" t="s">
        <v>3430</v>
      </c>
      <c r="D901" t="s">
        <v>3431</v>
      </c>
      <c r="G901" t="s">
        <v>130</v>
      </c>
      <c r="H901" t="s">
        <v>131</v>
      </c>
      <c r="I901" t="s">
        <v>3432</v>
      </c>
    </row>
    <row r="902" spans="1:9" x14ac:dyDescent="0.25">
      <c r="A902" t="str">
        <f>"001075039"</f>
        <v>001075039</v>
      </c>
      <c r="B902" t="s">
        <v>3433</v>
      </c>
      <c r="D902" t="s">
        <v>3434</v>
      </c>
      <c r="G902" t="s">
        <v>3435</v>
      </c>
      <c r="H902" t="s">
        <v>161</v>
      </c>
      <c r="I902" t="s">
        <v>3436</v>
      </c>
    </row>
    <row r="903" spans="1:9" x14ac:dyDescent="0.25">
      <c r="A903" t="str">
        <f>"001063151"</f>
        <v>001063151</v>
      </c>
      <c r="B903" t="s">
        <v>3437</v>
      </c>
      <c r="D903" t="s">
        <v>3438</v>
      </c>
      <c r="E903" t="s">
        <v>3439</v>
      </c>
      <c r="G903" t="s">
        <v>83</v>
      </c>
      <c r="H903" t="s">
        <v>84</v>
      </c>
      <c r="I903" t="s">
        <v>3440</v>
      </c>
    </row>
    <row r="904" spans="1:9" x14ac:dyDescent="0.25">
      <c r="A904" t="str">
        <f>"001040806"</f>
        <v>001040806</v>
      </c>
      <c r="B904" t="s">
        <v>3441</v>
      </c>
      <c r="D904" t="s">
        <v>3442</v>
      </c>
      <c r="G904" t="s">
        <v>688</v>
      </c>
      <c r="H904" t="s">
        <v>28</v>
      </c>
      <c r="I904" t="s">
        <v>3443</v>
      </c>
    </row>
    <row r="905" spans="1:9" x14ac:dyDescent="0.25">
      <c r="A905" t="str">
        <f>"001040833"</f>
        <v>001040833</v>
      </c>
      <c r="B905" t="s">
        <v>3444</v>
      </c>
      <c r="D905" t="s">
        <v>3445</v>
      </c>
      <c r="G905" t="s">
        <v>3446</v>
      </c>
      <c r="H905" t="s">
        <v>182</v>
      </c>
      <c r="I905" t="s">
        <v>3447</v>
      </c>
    </row>
    <row r="906" spans="1:9" x14ac:dyDescent="0.25">
      <c r="A906" t="str">
        <f>"001076602"</f>
        <v>001076602</v>
      </c>
      <c r="B906" t="s">
        <v>3448</v>
      </c>
      <c r="D906" t="s">
        <v>3449</v>
      </c>
      <c r="G906" t="s">
        <v>3450</v>
      </c>
      <c r="H906" t="s">
        <v>39</v>
      </c>
      <c r="I906" t="s">
        <v>3451</v>
      </c>
    </row>
    <row r="907" spans="1:9" x14ac:dyDescent="0.25">
      <c r="A907" t="str">
        <f>"001035898"</f>
        <v>001035898</v>
      </c>
      <c r="B907" t="s">
        <v>3452</v>
      </c>
      <c r="D907" t="s">
        <v>3453</v>
      </c>
      <c r="G907" t="s">
        <v>64</v>
      </c>
      <c r="H907" t="s">
        <v>39</v>
      </c>
      <c r="I907" t="s">
        <v>3454</v>
      </c>
    </row>
    <row r="908" spans="1:9" x14ac:dyDescent="0.25">
      <c r="A908" t="str">
        <f>"001046993"</f>
        <v>001046993</v>
      </c>
      <c r="B908" t="s">
        <v>3455</v>
      </c>
      <c r="D908" t="s">
        <v>3456</v>
      </c>
      <c r="G908" t="s">
        <v>3457</v>
      </c>
      <c r="H908" t="s">
        <v>540</v>
      </c>
      <c r="I908" t="s">
        <v>3458</v>
      </c>
    </row>
    <row r="909" spans="1:9" x14ac:dyDescent="0.25">
      <c r="A909" t="str">
        <f>"001049569"</f>
        <v>001049569</v>
      </c>
      <c r="B909" t="s">
        <v>3459</v>
      </c>
      <c r="D909" t="s">
        <v>3460</v>
      </c>
      <c r="G909" t="s">
        <v>170</v>
      </c>
      <c r="H909" t="s">
        <v>171</v>
      </c>
      <c r="I909" t="s">
        <v>3461</v>
      </c>
    </row>
    <row r="910" spans="1:9" x14ac:dyDescent="0.25">
      <c r="A910" t="str">
        <f>"001048105"</f>
        <v>001048105</v>
      </c>
      <c r="B910" t="s">
        <v>3462</v>
      </c>
      <c r="D910" t="s">
        <v>3463</v>
      </c>
      <c r="G910" t="s">
        <v>64</v>
      </c>
      <c r="H910" t="s">
        <v>39</v>
      </c>
      <c r="I910" t="s">
        <v>3464</v>
      </c>
    </row>
    <row r="911" spans="1:9" x14ac:dyDescent="0.25">
      <c r="A911" t="str">
        <f>"001049669"</f>
        <v>001049669</v>
      </c>
      <c r="B911" t="s">
        <v>3465</v>
      </c>
      <c r="D911" t="s">
        <v>2876</v>
      </c>
      <c r="E911" t="s">
        <v>2877</v>
      </c>
      <c r="G911" t="s">
        <v>64</v>
      </c>
      <c r="H911" t="s">
        <v>39</v>
      </c>
      <c r="I911" t="s">
        <v>3466</v>
      </c>
    </row>
    <row r="912" spans="1:9" x14ac:dyDescent="0.25">
      <c r="A912" t="str">
        <f>"001060040"</f>
        <v>001060040</v>
      </c>
      <c r="B912" t="s">
        <v>3467</v>
      </c>
      <c r="D912" t="s">
        <v>3468</v>
      </c>
      <c r="G912" t="s">
        <v>64</v>
      </c>
      <c r="H912" t="s">
        <v>39</v>
      </c>
      <c r="I912" t="s">
        <v>3469</v>
      </c>
    </row>
    <row r="913" spans="1:9" x14ac:dyDescent="0.25">
      <c r="A913" t="str">
        <f>"001070177"</f>
        <v>001070177</v>
      </c>
      <c r="B913" t="s">
        <v>3470</v>
      </c>
      <c r="D913" t="s">
        <v>3471</v>
      </c>
      <c r="G913" t="s">
        <v>3472</v>
      </c>
      <c r="H913" t="s">
        <v>1012</v>
      </c>
      <c r="I913" t="s">
        <v>3473</v>
      </c>
    </row>
    <row r="914" spans="1:9" x14ac:dyDescent="0.25">
      <c r="A914" t="str">
        <f>"001070787"</f>
        <v>001070787</v>
      </c>
      <c r="B914" t="s">
        <v>3474</v>
      </c>
      <c r="D914" t="s">
        <v>3475</v>
      </c>
      <c r="G914" t="s">
        <v>3476</v>
      </c>
      <c r="H914" t="s">
        <v>28</v>
      </c>
      <c r="I914" t="s">
        <v>3477</v>
      </c>
    </row>
    <row r="915" spans="1:9" x14ac:dyDescent="0.25">
      <c r="A915" t="str">
        <f>"001081226"</f>
        <v>001081226</v>
      </c>
      <c r="B915" t="s">
        <v>3478</v>
      </c>
      <c r="D915" t="s">
        <v>3479</v>
      </c>
      <c r="G915" t="s">
        <v>3480</v>
      </c>
      <c r="H915" t="s">
        <v>221</v>
      </c>
      <c r="I915" t="s">
        <v>3481</v>
      </c>
    </row>
    <row r="916" spans="1:9" x14ac:dyDescent="0.25">
      <c r="A916" t="str">
        <f>"001069362"</f>
        <v>001069362</v>
      </c>
      <c r="B916" t="s">
        <v>3482</v>
      </c>
      <c r="D916" t="s">
        <v>3483</v>
      </c>
      <c r="G916" t="s">
        <v>1714</v>
      </c>
      <c r="H916" t="s">
        <v>383</v>
      </c>
      <c r="I916" t="s">
        <v>3484</v>
      </c>
    </row>
    <row r="917" spans="1:9" x14ac:dyDescent="0.25">
      <c r="A917" t="str">
        <f>"001069380"</f>
        <v>001069380</v>
      </c>
      <c r="B917" t="s">
        <v>3485</v>
      </c>
      <c r="D917" t="s">
        <v>3486</v>
      </c>
      <c r="G917" t="s">
        <v>253</v>
      </c>
      <c r="H917" t="s">
        <v>28</v>
      </c>
      <c r="I917" t="s">
        <v>3487</v>
      </c>
    </row>
    <row r="918" spans="1:9" x14ac:dyDescent="0.25">
      <c r="A918" t="str">
        <f>"001076523"</f>
        <v>001076523</v>
      </c>
      <c r="B918" t="s">
        <v>3488</v>
      </c>
      <c r="D918" t="s">
        <v>3489</v>
      </c>
      <c r="G918" t="s">
        <v>3490</v>
      </c>
      <c r="H918" t="s">
        <v>221</v>
      </c>
      <c r="I918" t="s">
        <v>3491</v>
      </c>
    </row>
    <row r="919" spans="1:9" x14ac:dyDescent="0.25">
      <c r="A919" t="str">
        <f>"001077018"</f>
        <v>001077018</v>
      </c>
      <c r="B919" t="s">
        <v>3492</v>
      </c>
      <c r="D919" t="s">
        <v>3493</v>
      </c>
      <c r="G919" t="s">
        <v>3494</v>
      </c>
      <c r="H919" t="s">
        <v>28</v>
      </c>
      <c r="I919" t="s">
        <v>3495</v>
      </c>
    </row>
    <row r="920" spans="1:9" x14ac:dyDescent="0.25">
      <c r="A920" t="str">
        <f>"000800417"</f>
        <v>000800417</v>
      </c>
      <c r="B920" t="s">
        <v>3496</v>
      </c>
      <c r="D920" t="s">
        <v>3497</v>
      </c>
      <c r="E920" t="s">
        <v>3498</v>
      </c>
      <c r="G920" t="s">
        <v>3499</v>
      </c>
      <c r="H920" t="s">
        <v>13</v>
      </c>
      <c r="I920" t="s">
        <v>3500</v>
      </c>
    </row>
    <row r="921" spans="1:9" x14ac:dyDescent="0.25">
      <c r="A921" t="str">
        <f>"000800030"</f>
        <v>000800030</v>
      </c>
      <c r="B921" t="s">
        <v>3501</v>
      </c>
      <c r="D921" t="s">
        <v>3502</v>
      </c>
      <c r="E921" t="s">
        <v>3503</v>
      </c>
      <c r="F921" t="s">
        <v>3504</v>
      </c>
      <c r="G921" t="s">
        <v>3501</v>
      </c>
      <c r="H921" t="s">
        <v>614</v>
      </c>
      <c r="I921" t="s">
        <v>3505</v>
      </c>
    </row>
    <row r="922" spans="1:9" x14ac:dyDescent="0.25">
      <c r="A922" t="str">
        <f>"000629458"</f>
        <v>000629458</v>
      </c>
      <c r="B922" t="s">
        <v>3506</v>
      </c>
      <c r="D922" t="s">
        <v>3507</v>
      </c>
      <c r="G922" t="s">
        <v>1580</v>
      </c>
      <c r="H922" t="s">
        <v>39</v>
      </c>
      <c r="I922" t="s">
        <v>3508</v>
      </c>
    </row>
    <row r="923" spans="1:9" x14ac:dyDescent="0.25">
      <c r="A923" t="str">
        <f>"000801419"</f>
        <v>000801419</v>
      </c>
      <c r="B923" t="s">
        <v>3509</v>
      </c>
      <c r="D923" t="s">
        <v>3510</v>
      </c>
      <c r="E923" t="s">
        <v>3511</v>
      </c>
      <c r="G923" t="s">
        <v>12</v>
      </c>
      <c r="H923" t="s">
        <v>13</v>
      </c>
      <c r="I923" t="s">
        <v>3512</v>
      </c>
    </row>
    <row r="924" spans="1:9" x14ac:dyDescent="0.25">
      <c r="A924" t="str">
        <f>"000801620"</f>
        <v>000801620</v>
      </c>
      <c r="B924" t="s">
        <v>3513</v>
      </c>
      <c r="D924" t="s">
        <v>3514</v>
      </c>
      <c r="G924" t="s">
        <v>523</v>
      </c>
      <c r="H924" t="s">
        <v>524</v>
      </c>
      <c r="I924" t="s">
        <v>3515</v>
      </c>
    </row>
    <row r="925" spans="1:9" x14ac:dyDescent="0.25">
      <c r="A925" t="str">
        <f>"000629157"</f>
        <v>000629157</v>
      </c>
      <c r="B925" t="s">
        <v>3516</v>
      </c>
      <c r="D925" t="s">
        <v>3517</v>
      </c>
      <c r="E925" t="s">
        <v>3518</v>
      </c>
      <c r="G925" t="s">
        <v>3519</v>
      </c>
      <c r="H925" t="s">
        <v>524</v>
      </c>
      <c r="I925">
        <v>68508</v>
      </c>
    </row>
    <row r="926" spans="1:9" x14ac:dyDescent="0.25">
      <c r="A926" t="str">
        <f>"000629319"</f>
        <v>000629319</v>
      </c>
      <c r="B926" t="s">
        <v>3520</v>
      </c>
      <c r="D926" t="s">
        <v>3521</v>
      </c>
      <c r="G926" t="s">
        <v>74</v>
      </c>
      <c r="H926" t="s">
        <v>75</v>
      </c>
      <c r="I926" t="s">
        <v>3522</v>
      </c>
    </row>
    <row r="927" spans="1:9" x14ac:dyDescent="0.25">
      <c r="A927" t="str">
        <f>"000802486"</f>
        <v>000802486</v>
      </c>
      <c r="B927" t="s">
        <v>3523</v>
      </c>
      <c r="D927" t="s">
        <v>3524</v>
      </c>
      <c r="G927" t="s">
        <v>1122</v>
      </c>
      <c r="H927" t="s">
        <v>23</v>
      </c>
      <c r="I927" t="s">
        <v>3525</v>
      </c>
    </row>
    <row r="928" spans="1:9" x14ac:dyDescent="0.25">
      <c r="A928" t="str">
        <f>"000808412"</f>
        <v>000808412</v>
      </c>
      <c r="B928" t="s">
        <v>3526</v>
      </c>
      <c r="D928" t="s">
        <v>3527</v>
      </c>
      <c r="E928" t="s">
        <v>3528</v>
      </c>
      <c r="G928" t="s">
        <v>2196</v>
      </c>
      <c r="H928" t="s">
        <v>13</v>
      </c>
      <c r="I928" t="s">
        <v>3529</v>
      </c>
    </row>
    <row r="929" spans="1:9" x14ac:dyDescent="0.25">
      <c r="A929" t="str">
        <f>"000629368"</f>
        <v>000629368</v>
      </c>
      <c r="B929" t="s">
        <v>3530</v>
      </c>
      <c r="D929" t="s">
        <v>3531</v>
      </c>
      <c r="E929" t="s">
        <v>3532</v>
      </c>
      <c r="G929" t="s">
        <v>1983</v>
      </c>
      <c r="H929" t="s">
        <v>166</v>
      </c>
      <c r="I929" t="s">
        <v>3533</v>
      </c>
    </row>
    <row r="930" spans="1:9" x14ac:dyDescent="0.25">
      <c r="A930" t="str">
        <f>"000801658"</f>
        <v>000801658</v>
      </c>
      <c r="B930" t="s">
        <v>3534</v>
      </c>
      <c r="D930" t="s">
        <v>3535</v>
      </c>
      <c r="G930" t="s">
        <v>64</v>
      </c>
      <c r="H930" t="s">
        <v>39</v>
      </c>
      <c r="I930" t="s">
        <v>3536</v>
      </c>
    </row>
    <row r="931" spans="1:9" x14ac:dyDescent="0.25">
      <c r="A931" t="str">
        <f>"000803394"</f>
        <v>000803394</v>
      </c>
      <c r="B931" t="s">
        <v>3537</v>
      </c>
      <c r="D931" t="s">
        <v>3538</v>
      </c>
      <c r="G931" t="s">
        <v>275</v>
      </c>
      <c r="H931" t="s">
        <v>23</v>
      </c>
      <c r="I931" t="s">
        <v>3539</v>
      </c>
    </row>
    <row r="932" spans="1:9" x14ac:dyDescent="0.25">
      <c r="A932" t="str">
        <f>"000800633"</f>
        <v>000800633</v>
      </c>
      <c r="B932" t="s">
        <v>3540</v>
      </c>
      <c r="D932" t="s">
        <v>3541</v>
      </c>
      <c r="G932" t="s">
        <v>170</v>
      </c>
      <c r="H932" t="s">
        <v>171</v>
      </c>
      <c r="I932" t="s">
        <v>3542</v>
      </c>
    </row>
    <row r="933" spans="1:9" x14ac:dyDescent="0.25">
      <c r="A933" t="str">
        <f>"000629237"</f>
        <v>000629237</v>
      </c>
      <c r="B933" t="s">
        <v>3543</v>
      </c>
      <c r="D933" t="s">
        <v>3544</v>
      </c>
      <c r="E933" t="s">
        <v>3545</v>
      </c>
      <c r="G933" t="s">
        <v>3192</v>
      </c>
      <c r="H933" t="s">
        <v>28</v>
      </c>
      <c r="I933" t="s">
        <v>3546</v>
      </c>
    </row>
    <row r="934" spans="1:9" x14ac:dyDescent="0.25">
      <c r="A934" t="str">
        <f>"000800936"</f>
        <v>000800936</v>
      </c>
      <c r="B934" t="s">
        <v>3547</v>
      </c>
      <c r="D934" t="s">
        <v>3548</v>
      </c>
      <c r="G934" t="s">
        <v>60</v>
      </c>
      <c r="H934" t="s">
        <v>28</v>
      </c>
      <c r="I934" t="s">
        <v>3549</v>
      </c>
    </row>
    <row r="935" spans="1:9" x14ac:dyDescent="0.25">
      <c r="A935" t="str">
        <f>"000801353"</f>
        <v>000801353</v>
      </c>
      <c r="B935" t="s">
        <v>3550</v>
      </c>
      <c r="D935" t="s">
        <v>3551</v>
      </c>
      <c r="E935" t="s">
        <v>3552</v>
      </c>
      <c r="F935" t="s">
        <v>3553</v>
      </c>
      <c r="G935" t="s">
        <v>130</v>
      </c>
      <c r="H935" t="s">
        <v>131</v>
      </c>
      <c r="I935" t="s">
        <v>3554</v>
      </c>
    </row>
    <row r="936" spans="1:9" x14ac:dyDescent="0.25">
      <c r="A936" t="str">
        <f>"000819070"</f>
        <v>000819070</v>
      </c>
      <c r="B936" t="s">
        <v>3555</v>
      </c>
      <c r="D936" t="s">
        <v>3556</v>
      </c>
      <c r="E936" t="s">
        <v>3557</v>
      </c>
      <c r="G936" t="s">
        <v>3558</v>
      </c>
      <c r="H936" t="s">
        <v>100</v>
      </c>
      <c r="I936" t="s">
        <v>3559</v>
      </c>
    </row>
    <row r="937" spans="1:9" x14ac:dyDescent="0.25">
      <c r="A937" t="str">
        <f>"000800295"</f>
        <v>000800295</v>
      </c>
      <c r="B937" t="s">
        <v>3560</v>
      </c>
      <c r="D937" t="s">
        <v>3561</v>
      </c>
      <c r="G937" t="s">
        <v>60</v>
      </c>
      <c r="H937" t="s">
        <v>28</v>
      </c>
      <c r="I937" t="s">
        <v>3562</v>
      </c>
    </row>
    <row r="938" spans="1:9" x14ac:dyDescent="0.25">
      <c r="A938" t="str">
        <f>"000801179"</f>
        <v>000801179</v>
      </c>
      <c r="B938" t="s">
        <v>3563</v>
      </c>
      <c r="D938" t="s">
        <v>3564</v>
      </c>
      <c r="E938" t="s">
        <v>3565</v>
      </c>
      <c r="G938" t="s">
        <v>3566</v>
      </c>
      <c r="H938" t="s">
        <v>13</v>
      </c>
      <c r="I938" t="s">
        <v>3567</v>
      </c>
    </row>
    <row r="939" spans="1:9" x14ac:dyDescent="0.25">
      <c r="A939" t="str">
        <f>"000802334"</f>
        <v>000802334</v>
      </c>
      <c r="B939" t="s">
        <v>3568</v>
      </c>
      <c r="D939" t="s">
        <v>3569</v>
      </c>
      <c r="G939" t="s">
        <v>751</v>
      </c>
      <c r="H939" t="s">
        <v>75</v>
      </c>
      <c r="I939" t="s">
        <v>3570</v>
      </c>
    </row>
    <row r="940" spans="1:9" x14ac:dyDescent="0.25">
      <c r="A940" t="str">
        <f>"000331366"</f>
        <v>000331366</v>
      </c>
      <c r="B940" t="s">
        <v>3571</v>
      </c>
      <c r="D940" t="s">
        <v>3572</v>
      </c>
      <c r="G940" t="s">
        <v>64</v>
      </c>
      <c r="H940" t="s">
        <v>39</v>
      </c>
      <c r="I940" t="s">
        <v>3573</v>
      </c>
    </row>
    <row r="941" spans="1:9" x14ac:dyDescent="0.25">
      <c r="A941" t="str">
        <f>"000565579"</f>
        <v>000565579</v>
      </c>
      <c r="B941" t="s">
        <v>3574</v>
      </c>
      <c r="D941" t="s">
        <v>3575</v>
      </c>
      <c r="G941" t="s">
        <v>64</v>
      </c>
      <c r="H941" t="s">
        <v>39</v>
      </c>
      <c r="I941" t="s">
        <v>3576</v>
      </c>
    </row>
    <row r="942" spans="1:9" x14ac:dyDescent="0.25">
      <c r="A942" t="str">
        <f>"000561669"</f>
        <v>000561669</v>
      </c>
      <c r="B942" t="s">
        <v>3577</v>
      </c>
      <c r="D942" t="s">
        <v>3578</v>
      </c>
      <c r="G942" t="s">
        <v>64</v>
      </c>
      <c r="H942" t="s">
        <v>39</v>
      </c>
      <c r="I942" t="s">
        <v>3579</v>
      </c>
    </row>
    <row r="943" spans="1:9" x14ac:dyDescent="0.25">
      <c r="A943" t="str">
        <f>"000565614"</f>
        <v>000565614</v>
      </c>
      <c r="B943" t="s">
        <v>3580</v>
      </c>
      <c r="D943" t="s">
        <v>3581</v>
      </c>
      <c r="E943" t="s">
        <v>3582</v>
      </c>
      <c r="G943" t="s">
        <v>3583</v>
      </c>
      <c r="H943" t="s">
        <v>28</v>
      </c>
      <c r="I943" t="s">
        <v>3584</v>
      </c>
    </row>
    <row r="944" spans="1:9" x14ac:dyDescent="0.25">
      <c r="A944" t="str">
        <f>"000557847"</f>
        <v>000557847</v>
      </c>
      <c r="B944" t="s">
        <v>3585</v>
      </c>
      <c r="D944" t="s">
        <v>3586</v>
      </c>
      <c r="G944" t="s">
        <v>64</v>
      </c>
      <c r="H944" t="s">
        <v>39</v>
      </c>
      <c r="I944" t="s">
        <v>3587</v>
      </c>
    </row>
    <row r="945" spans="1:9" x14ac:dyDescent="0.25">
      <c r="A945" t="str">
        <f>"000548151"</f>
        <v>000548151</v>
      </c>
      <c r="B945" t="s">
        <v>3588</v>
      </c>
      <c r="D945" t="s">
        <v>3589</v>
      </c>
      <c r="G945" t="s">
        <v>1039</v>
      </c>
      <c r="H945" t="s">
        <v>879</v>
      </c>
      <c r="I945" t="s">
        <v>3590</v>
      </c>
    </row>
    <row r="946" spans="1:9" x14ac:dyDescent="0.25">
      <c r="A946" t="str">
        <f>"000516510"</f>
        <v>000516510</v>
      </c>
      <c r="B946" t="s">
        <v>3591</v>
      </c>
      <c r="D946" t="s">
        <v>3592</v>
      </c>
      <c r="G946" t="s">
        <v>64</v>
      </c>
      <c r="H946" t="s">
        <v>39</v>
      </c>
      <c r="I946" t="s">
        <v>3593</v>
      </c>
    </row>
    <row r="947" spans="1:9" x14ac:dyDescent="0.25">
      <c r="A947" t="str">
        <f>"000011544"</f>
        <v>000011544</v>
      </c>
      <c r="B947" t="s">
        <v>3594</v>
      </c>
      <c r="D947" t="s">
        <v>3595</v>
      </c>
      <c r="G947" t="s">
        <v>56</v>
      </c>
      <c r="H947" t="s">
        <v>28</v>
      </c>
      <c r="I947" t="s">
        <v>3596</v>
      </c>
    </row>
    <row r="948" spans="1:9" x14ac:dyDescent="0.25">
      <c r="A948" t="str">
        <f>"000010678"</f>
        <v>000010678</v>
      </c>
      <c r="B948" t="s">
        <v>3597</v>
      </c>
      <c r="D948" t="s">
        <v>3598</v>
      </c>
      <c r="G948" t="s">
        <v>3599</v>
      </c>
      <c r="H948" t="s">
        <v>13</v>
      </c>
      <c r="I948" t="s">
        <v>3600</v>
      </c>
    </row>
    <row r="949" spans="1:9" x14ac:dyDescent="0.25">
      <c r="A949" t="str">
        <f>"000010061"</f>
        <v>000010061</v>
      </c>
      <c r="B949" t="s">
        <v>3601</v>
      </c>
      <c r="D949" t="s">
        <v>3602</v>
      </c>
      <c r="E949" t="s">
        <v>3603</v>
      </c>
      <c r="G949" t="s">
        <v>60</v>
      </c>
      <c r="H949" t="s">
        <v>28</v>
      </c>
      <c r="I949" t="s">
        <v>3604</v>
      </c>
    </row>
    <row r="950" spans="1:9" x14ac:dyDescent="0.25">
      <c r="A950" t="str">
        <f>"000011493"</f>
        <v>000011493</v>
      </c>
      <c r="B950" t="s">
        <v>3605</v>
      </c>
      <c r="D950" t="s">
        <v>3606</v>
      </c>
      <c r="G950" t="s">
        <v>751</v>
      </c>
      <c r="H950" t="s">
        <v>540</v>
      </c>
      <c r="I950" t="s">
        <v>3607</v>
      </c>
    </row>
    <row r="951" spans="1:9" x14ac:dyDescent="0.25">
      <c r="A951" t="str">
        <f>"000011280"</f>
        <v>000011280</v>
      </c>
      <c r="B951" t="s">
        <v>3608</v>
      </c>
      <c r="D951" t="s">
        <v>3609</v>
      </c>
      <c r="G951" t="s">
        <v>3610</v>
      </c>
      <c r="H951" t="s">
        <v>827</v>
      </c>
      <c r="I951" t="s">
        <v>3611</v>
      </c>
    </row>
    <row r="952" spans="1:9" x14ac:dyDescent="0.25">
      <c r="A952" t="str">
        <f>"000011250"</f>
        <v>000011250</v>
      </c>
      <c r="B952" t="s">
        <v>3612</v>
      </c>
      <c r="D952" t="s">
        <v>3613</v>
      </c>
      <c r="E952" t="s">
        <v>3614</v>
      </c>
      <c r="G952" t="s">
        <v>3615</v>
      </c>
      <c r="H952" t="s">
        <v>39</v>
      </c>
      <c r="I952" t="s">
        <v>3616</v>
      </c>
    </row>
    <row r="953" spans="1:9" x14ac:dyDescent="0.25">
      <c r="A953" t="str">
        <f>"000011483"</f>
        <v>000011483</v>
      </c>
      <c r="B953" t="s">
        <v>3617</v>
      </c>
      <c r="D953" t="s">
        <v>3618</v>
      </c>
      <c r="E953" t="s">
        <v>3619</v>
      </c>
      <c r="G953" t="s">
        <v>90</v>
      </c>
      <c r="H953" t="s">
        <v>39</v>
      </c>
      <c r="I953" t="s">
        <v>3620</v>
      </c>
    </row>
    <row r="954" spans="1:9" x14ac:dyDescent="0.25">
      <c r="A954" t="str">
        <f>"000010852"</f>
        <v>000010852</v>
      </c>
      <c r="B954" t="s">
        <v>3621</v>
      </c>
      <c r="D954" t="s">
        <v>3622</v>
      </c>
      <c r="G954" t="s">
        <v>3623</v>
      </c>
      <c r="H954" t="s">
        <v>39</v>
      </c>
      <c r="I954" t="s">
        <v>3624</v>
      </c>
    </row>
    <row r="955" spans="1:9" x14ac:dyDescent="0.25">
      <c r="A955" t="str">
        <f>"000010849"</f>
        <v>000010849</v>
      </c>
      <c r="B955" t="s">
        <v>3625</v>
      </c>
      <c r="D955" t="s">
        <v>3626</v>
      </c>
      <c r="G955" t="s">
        <v>64</v>
      </c>
      <c r="H955" t="s">
        <v>39</v>
      </c>
      <c r="I955" t="s">
        <v>3627</v>
      </c>
    </row>
    <row r="956" spans="1:9" x14ac:dyDescent="0.25">
      <c r="A956" t="str">
        <f>"000012012"</f>
        <v>000012012</v>
      </c>
      <c r="B956" t="s">
        <v>3628</v>
      </c>
      <c r="D956" t="s">
        <v>3629</v>
      </c>
      <c r="E956" t="s">
        <v>3630</v>
      </c>
      <c r="G956" t="s">
        <v>2620</v>
      </c>
      <c r="H956" t="s">
        <v>51</v>
      </c>
      <c r="I956" t="s">
        <v>3631</v>
      </c>
    </row>
    <row r="957" spans="1:9" x14ac:dyDescent="0.25">
      <c r="A957" t="str">
        <f>"000011476"</f>
        <v>000011476</v>
      </c>
      <c r="B957" t="s">
        <v>3632</v>
      </c>
      <c r="D957" t="s">
        <v>3633</v>
      </c>
      <c r="E957" t="s">
        <v>3634</v>
      </c>
      <c r="G957" t="s">
        <v>253</v>
      </c>
      <c r="H957" t="s">
        <v>28</v>
      </c>
      <c r="I957" t="s">
        <v>3635</v>
      </c>
    </row>
    <row r="958" spans="1:9" x14ac:dyDescent="0.25">
      <c r="A958" t="str">
        <f>"000011462"</f>
        <v>000011462</v>
      </c>
      <c r="B958" t="s">
        <v>3636</v>
      </c>
      <c r="D958" t="s">
        <v>3637</v>
      </c>
      <c r="G958" t="s">
        <v>3638</v>
      </c>
      <c r="H958" t="s">
        <v>70</v>
      </c>
      <c r="I958" t="s">
        <v>3639</v>
      </c>
    </row>
    <row r="959" spans="1:9" x14ac:dyDescent="0.25">
      <c r="A959" t="str">
        <f>"000011447"</f>
        <v>000011447</v>
      </c>
      <c r="B959" t="s">
        <v>3640</v>
      </c>
      <c r="D959" t="s">
        <v>3641</v>
      </c>
      <c r="E959" t="s">
        <v>3642</v>
      </c>
      <c r="F959" t="s">
        <v>3643</v>
      </c>
      <c r="G959" t="s">
        <v>3644</v>
      </c>
      <c r="I959" t="s">
        <v>3645</v>
      </c>
    </row>
    <row r="960" spans="1:9" x14ac:dyDescent="0.25">
      <c r="A960" t="str">
        <f>"000010530"</f>
        <v>000010530</v>
      </c>
      <c r="B960" t="s">
        <v>3646</v>
      </c>
      <c r="D960" t="s">
        <v>636</v>
      </c>
      <c r="G960" t="s">
        <v>64</v>
      </c>
      <c r="H960" t="s">
        <v>39</v>
      </c>
      <c r="I960" t="s">
        <v>637</v>
      </c>
    </row>
    <row r="961" spans="1:9" x14ac:dyDescent="0.25">
      <c r="A961" t="str">
        <f>"000011732"</f>
        <v>000011732</v>
      </c>
      <c r="B961" t="s">
        <v>3647</v>
      </c>
      <c r="D961" t="s">
        <v>3648</v>
      </c>
      <c r="G961" t="s">
        <v>38</v>
      </c>
      <c r="H961" t="s">
        <v>39</v>
      </c>
      <c r="I961" t="s">
        <v>3649</v>
      </c>
    </row>
    <row r="962" spans="1:9" x14ac:dyDescent="0.25">
      <c r="A962" t="str">
        <f>"000010815"</f>
        <v>000010815</v>
      </c>
      <c r="B962" t="s">
        <v>3650</v>
      </c>
      <c r="D962" t="s">
        <v>3651</v>
      </c>
      <c r="G962" t="s">
        <v>3652</v>
      </c>
      <c r="H962" t="s">
        <v>28</v>
      </c>
      <c r="I962" t="s">
        <v>3653</v>
      </c>
    </row>
    <row r="963" spans="1:9" x14ac:dyDescent="0.25">
      <c r="A963" t="str">
        <f>"000010803"</f>
        <v>000010803</v>
      </c>
      <c r="B963" t="s">
        <v>3654</v>
      </c>
      <c r="D963" t="s">
        <v>2794</v>
      </c>
      <c r="G963" t="s">
        <v>64</v>
      </c>
      <c r="H963" t="s">
        <v>39</v>
      </c>
      <c r="I963" t="s">
        <v>3655</v>
      </c>
    </row>
    <row r="964" spans="1:9" x14ac:dyDescent="0.25">
      <c r="A964" t="str">
        <f>"000012176"</f>
        <v>000012176</v>
      </c>
      <c r="B964" t="s">
        <v>3656</v>
      </c>
      <c r="D964" t="s">
        <v>3657</v>
      </c>
      <c r="E964" t="s">
        <v>3658</v>
      </c>
      <c r="G964" t="s">
        <v>64</v>
      </c>
      <c r="H964" t="s">
        <v>39</v>
      </c>
      <c r="I964" t="s">
        <v>3659</v>
      </c>
    </row>
    <row r="965" spans="1:9" x14ac:dyDescent="0.25">
      <c r="A965" t="str">
        <f>"000012172"</f>
        <v>000012172</v>
      </c>
      <c r="B965" t="s">
        <v>3660</v>
      </c>
      <c r="D965" t="s">
        <v>3661</v>
      </c>
      <c r="G965" t="s">
        <v>64</v>
      </c>
      <c r="H965" t="s">
        <v>39</v>
      </c>
      <c r="I965" t="s">
        <v>3662</v>
      </c>
    </row>
    <row r="966" spans="1:9" x14ac:dyDescent="0.25">
      <c r="A966" t="str">
        <f>"000011945"</f>
        <v>000011945</v>
      </c>
      <c r="B966" t="s">
        <v>3663</v>
      </c>
      <c r="D966" t="s">
        <v>980</v>
      </c>
      <c r="G966" t="s">
        <v>130</v>
      </c>
      <c r="H966" t="s">
        <v>131</v>
      </c>
      <c r="I966" t="s">
        <v>3664</v>
      </c>
    </row>
    <row r="967" spans="1:9" x14ac:dyDescent="0.25">
      <c r="A967" t="str">
        <f>"000010228"</f>
        <v>000010228</v>
      </c>
      <c r="B967" t="s">
        <v>3665</v>
      </c>
      <c r="D967" t="s">
        <v>3666</v>
      </c>
      <c r="G967" t="s">
        <v>3667</v>
      </c>
      <c r="I967">
        <v>2300</v>
      </c>
    </row>
    <row r="968" spans="1:9" x14ac:dyDescent="0.25">
      <c r="A968" t="str">
        <f>"000011632"</f>
        <v>000011632</v>
      </c>
      <c r="B968" t="s">
        <v>3668</v>
      </c>
      <c r="D968" t="s">
        <v>3669</v>
      </c>
      <c r="G968" t="s">
        <v>165</v>
      </c>
      <c r="H968" t="s">
        <v>166</v>
      </c>
      <c r="I968" t="s">
        <v>3670</v>
      </c>
    </row>
    <row r="969" spans="1:9" x14ac:dyDescent="0.25">
      <c r="A969" t="str">
        <f>"000011385"</f>
        <v>000011385</v>
      </c>
      <c r="B969" t="s">
        <v>3671</v>
      </c>
      <c r="D969" t="s">
        <v>1767</v>
      </c>
      <c r="G969" t="s">
        <v>3672</v>
      </c>
      <c r="H969" t="s">
        <v>1234</v>
      </c>
      <c r="I969" t="s">
        <v>3673</v>
      </c>
    </row>
    <row r="970" spans="1:9" x14ac:dyDescent="0.25">
      <c r="A970" t="str">
        <f>"000010599"</f>
        <v>000010599</v>
      </c>
      <c r="B970" t="s">
        <v>3674</v>
      </c>
      <c r="D970" t="s">
        <v>3675</v>
      </c>
      <c r="G970" t="s">
        <v>2501</v>
      </c>
      <c r="H970" t="s">
        <v>39</v>
      </c>
      <c r="I970" t="s">
        <v>3676</v>
      </c>
    </row>
    <row r="971" spans="1:9" x14ac:dyDescent="0.25">
      <c r="A971" t="str">
        <f>"000010119"</f>
        <v>000010119</v>
      </c>
      <c r="B971" t="s">
        <v>3677</v>
      </c>
      <c r="D971" t="s">
        <v>3678</v>
      </c>
      <c r="E971" t="s">
        <v>3679</v>
      </c>
      <c r="F971" t="s">
        <v>3680</v>
      </c>
      <c r="G971" t="s">
        <v>64</v>
      </c>
      <c r="H971" t="s">
        <v>39</v>
      </c>
      <c r="I971" t="s">
        <v>3681</v>
      </c>
    </row>
    <row r="972" spans="1:9" x14ac:dyDescent="0.25">
      <c r="A972" t="str">
        <f>"000010485"</f>
        <v>000010485</v>
      </c>
      <c r="B972" t="s">
        <v>3682</v>
      </c>
      <c r="D972" t="s">
        <v>3683</v>
      </c>
      <c r="G972" t="s">
        <v>64</v>
      </c>
      <c r="H972" t="s">
        <v>39</v>
      </c>
      <c r="I972" t="s">
        <v>3684</v>
      </c>
    </row>
    <row r="973" spans="1:9" x14ac:dyDescent="0.25">
      <c r="A973" t="str">
        <f>"000012593"</f>
        <v>000012593</v>
      </c>
      <c r="B973" t="s">
        <v>3685</v>
      </c>
      <c r="D973" t="s">
        <v>3686</v>
      </c>
      <c r="G973" t="s">
        <v>64</v>
      </c>
      <c r="H973" t="s">
        <v>39</v>
      </c>
      <c r="I973" t="s">
        <v>3687</v>
      </c>
    </row>
    <row r="974" spans="1:9" x14ac:dyDescent="0.25">
      <c r="A974" t="str">
        <f>"000818022"</f>
        <v>000818022</v>
      </c>
      <c r="B974" t="s">
        <v>3688</v>
      </c>
      <c r="D974" t="s">
        <v>3689</v>
      </c>
      <c r="G974" t="s">
        <v>3690</v>
      </c>
      <c r="H974" t="s">
        <v>100</v>
      </c>
      <c r="I974" t="s">
        <v>3691</v>
      </c>
    </row>
    <row r="975" spans="1:9" x14ac:dyDescent="0.25">
      <c r="A975" t="str">
        <f>"000665495"</f>
        <v>000665495</v>
      </c>
      <c r="B975" t="s">
        <v>3692</v>
      </c>
      <c r="D975" t="s">
        <v>3693</v>
      </c>
      <c r="E975" t="s">
        <v>3694</v>
      </c>
      <c r="G975" t="s">
        <v>275</v>
      </c>
      <c r="H975" t="s">
        <v>23</v>
      </c>
      <c r="I975" t="s">
        <v>3695</v>
      </c>
    </row>
    <row r="976" spans="1:9" x14ac:dyDescent="0.25">
      <c r="A976" t="str">
        <f>"000808556"</f>
        <v>000808556</v>
      </c>
      <c r="B976" t="s">
        <v>3696</v>
      </c>
      <c r="D976" t="s">
        <v>3697</v>
      </c>
      <c r="G976" t="s">
        <v>220</v>
      </c>
      <c r="H976" t="s">
        <v>221</v>
      </c>
      <c r="I976" t="s">
        <v>3698</v>
      </c>
    </row>
    <row r="977" spans="1:9" x14ac:dyDescent="0.25">
      <c r="A977" t="str">
        <f>"000849499"</f>
        <v>000849499</v>
      </c>
      <c r="B977" t="s">
        <v>3699</v>
      </c>
      <c r="D977" t="s">
        <v>3700</v>
      </c>
      <c r="E977" t="s">
        <v>3701</v>
      </c>
      <c r="G977" t="s">
        <v>3702</v>
      </c>
      <c r="H977" t="s">
        <v>131</v>
      </c>
      <c r="I977" t="s">
        <v>3703</v>
      </c>
    </row>
    <row r="978" spans="1:9" x14ac:dyDescent="0.25">
      <c r="A978" t="str">
        <f>"000856773"</f>
        <v>000856773</v>
      </c>
      <c r="B978" t="s">
        <v>3704</v>
      </c>
      <c r="D978" t="s">
        <v>3705</v>
      </c>
      <c r="G978" t="s">
        <v>90</v>
      </c>
      <c r="H978" t="s">
        <v>39</v>
      </c>
      <c r="I978" t="s">
        <v>3706</v>
      </c>
    </row>
    <row r="979" spans="1:9" x14ac:dyDescent="0.25">
      <c r="A979" t="str">
        <f>"000852148"</f>
        <v>000852148</v>
      </c>
      <c r="B979" t="s">
        <v>3707</v>
      </c>
      <c r="D979" t="s">
        <v>3708</v>
      </c>
      <c r="G979" t="s">
        <v>1714</v>
      </c>
      <c r="H979" t="s">
        <v>383</v>
      </c>
      <c r="I979" t="s">
        <v>3709</v>
      </c>
    </row>
    <row r="980" spans="1:9" x14ac:dyDescent="0.25">
      <c r="A980" t="str">
        <f>"000803158"</f>
        <v>000803158</v>
      </c>
      <c r="B980" t="s">
        <v>3710</v>
      </c>
      <c r="D980" t="s">
        <v>3711</v>
      </c>
      <c r="G980" t="s">
        <v>64</v>
      </c>
      <c r="H980" t="s">
        <v>39</v>
      </c>
      <c r="I980" t="s">
        <v>3712</v>
      </c>
    </row>
    <row r="981" spans="1:9" x14ac:dyDescent="0.25">
      <c r="A981" t="str">
        <f>"000832842"</f>
        <v>000832842</v>
      </c>
      <c r="B981" t="s">
        <v>3713</v>
      </c>
      <c r="D981" t="s">
        <v>3714</v>
      </c>
      <c r="E981" t="s">
        <v>3715</v>
      </c>
      <c r="G981" t="s">
        <v>3716</v>
      </c>
      <c r="H981" t="s">
        <v>28</v>
      </c>
      <c r="I981" t="s">
        <v>3717</v>
      </c>
    </row>
    <row r="982" spans="1:9" x14ac:dyDescent="0.25">
      <c r="A982" t="str">
        <f>"000809097"</f>
        <v>000809097</v>
      </c>
      <c r="B982" t="s">
        <v>3718</v>
      </c>
      <c r="D982" t="s">
        <v>3719</v>
      </c>
      <c r="G982" t="s">
        <v>170</v>
      </c>
      <c r="H982" t="s">
        <v>171</v>
      </c>
      <c r="I982" t="s">
        <v>3720</v>
      </c>
    </row>
    <row r="983" spans="1:9" x14ac:dyDescent="0.25">
      <c r="A983" t="str">
        <f>"000869389"</f>
        <v>000869389</v>
      </c>
      <c r="B983" t="s">
        <v>3721</v>
      </c>
      <c r="D983" t="s">
        <v>3722</v>
      </c>
      <c r="G983" t="s">
        <v>391</v>
      </c>
      <c r="H983" t="s">
        <v>296</v>
      </c>
      <c r="I983" t="s">
        <v>3723</v>
      </c>
    </row>
    <row r="984" spans="1:9" x14ac:dyDescent="0.25">
      <c r="A984" t="str">
        <f>"000802130"</f>
        <v>000802130</v>
      </c>
      <c r="B984" t="s">
        <v>3724</v>
      </c>
      <c r="D984" t="s">
        <v>3725</v>
      </c>
      <c r="G984" t="s">
        <v>3056</v>
      </c>
      <c r="H984" t="s">
        <v>28</v>
      </c>
      <c r="I984" t="s">
        <v>3726</v>
      </c>
    </row>
    <row r="985" spans="1:9" x14ac:dyDescent="0.25">
      <c r="A985" t="str">
        <f>"000802141"</f>
        <v>000802141</v>
      </c>
      <c r="B985" t="s">
        <v>3727</v>
      </c>
      <c r="D985" t="s">
        <v>3728</v>
      </c>
      <c r="G985" t="s">
        <v>3729</v>
      </c>
      <c r="H985" t="s">
        <v>1012</v>
      </c>
      <c r="I985" t="s">
        <v>3730</v>
      </c>
    </row>
    <row r="986" spans="1:9" x14ac:dyDescent="0.25">
      <c r="A986" t="str">
        <f>"000820464"</f>
        <v>000820464</v>
      </c>
      <c r="B986" t="s">
        <v>3731</v>
      </c>
      <c r="D986" t="s">
        <v>3732</v>
      </c>
      <c r="G986" t="s">
        <v>3733</v>
      </c>
      <c r="H986" t="s">
        <v>809</v>
      </c>
      <c r="I986" t="s">
        <v>3734</v>
      </c>
    </row>
    <row r="987" spans="1:9" x14ac:dyDescent="0.25">
      <c r="A987" t="str">
        <f>"000893530"</f>
        <v>000893530</v>
      </c>
      <c r="B987" t="s">
        <v>3735</v>
      </c>
      <c r="D987" t="s">
        <v>3736</v>
      </c>
      <c r="G987" t="s">
        <v>1773</v>
      </c>
      <c r="H987" t="s">
        <v>28</v>
      </c>
      <c r="I987">
        <v>62226</v>
      </c>
    </row>
    <row r="988" spans="1:9" x14ac:dyDescent="0.25">
      <c r="A988" t="str">
        <f>"000854472"</f>
        <v>000854472</v>
      </c>
      <c r="B988" t="s">
        <v>3737</v>
      </c>
      <c r="D988" t="s">
        <v>3738</v>
      </c>
      <c r="E988" t="s">
        <v>3739</v>
      </c>
      <c r="G988" t="s">
        <v>574</v>
      </c>
      <c r="H988" t="s">
        <v>75</v>
      </c>
      <c r="I988" t="s">
        <v>3740</v>
      </c>
    </row>
    <row r="989" spans="1:9" x14ac:dyDescent="0.25">
      <c r="A989" t="str">
        <f>"000854475"</f>
        <v>000854475</v>
      </c>
      <c r="B989" t="s">
        <v>3741</v>
      </c>
      <c r="D989" t="s">
        <v>3742</v>
      </c>
      <c r="E989" t="s">
        <v>3743</v>
      </c>
      <c r="F989" t="s">
        <v>3744</v>
      </c>
      <c r="G989" t="s">
        <v>60</v>
      </c>
      <c r="H989" t="s">
        <v>28</v>
      </c>
      <c r="I989" t="s">
        <v>3745</v>
      </c>
    </row>
    <row r="990" spans="1:9" x14ac:dyDescent="0.25">
      <c r="A990" t="str">
        <f>"000859260"</f>
        <v>000859260</v>
      </c>
      <c r="B990" t="s">
        <v>3746</v>
      </c>
      <c r="D990" t="s">
        <v>3747</v>
      </c>
      <c r="E990" t="s">
        <v>3748</v>
      </c>
      <c r="G990" t="s">
        <v>3749</v>
      </c>
      <c r="H990" t="s">
        <v>166</v>
      </c>
      <c r="I990" t="s">
        <v>3750</v>
      </c>
    </row>
    <row r="991" spans="1:9" x14ac:dyDescent="0.25">
      <c r="A991" t="str">
        <f>"000812778"</f>
        <v>000812778</v>
      </c>
      <c r="B991" t="s">
        <v>3751</v>
      </c>
      <c r="D991" t="s">
        <v>3752</v>
      </c>
      <c r="E991" t="s">
        <v>3753</v>
      </c>
      <c r="G991" t="s">
        <v>275</v>
      </c>
      <c r="H991" t="s">
        <v>23</v>
      </c>
      <c r="I991" t="s">
        <v>3754</v>
      </c>
    </row>
    <row r="992" spans="1:9" x14ac:dyDescent="0.25">
      <c r="A992" t="str">
        <f>"000858542"</f>
        <v>000858542</v>
      </c>
      <c r="B992" t="s">
        <v>3755</v>
      </c>
      <c r="D992" t="s">
        <v>3756</v>
      </c>
      <c r="G992" t="s">
        <v>3757</v>
      </c>
      <c r="H992" t="s">
        <v>28</v>
      </c>
      <c r="I992" t="s">
        <v>3758</v>
      </c>
    </row>
    <row r="993" spans="1:9" x14ac:dyDescent="0.25">
      <c r="A993" t="str">
        <f>"000857092"</f>
        <v>000857092</v>
      </c>
      <c r="B993" t="s">
        <v>3759</v>
      </c>
      <c r="D993" t="s">
        <v>3760</v>
      </c>
      <c r="E993" t="s">
        <v>3761</v>
      </c>
      <c r="F993" t="s">
        <v>3762</v>
      </c>
      <c r="G993" t="s">
        <v>64</v>
      </c>
      <c r="H993" t="s">
        <v>39</v>
      </c>
      <c r="I993" t="s">
        <v>3763</v>
      </c>
    </row>
    <row r="994" spans="1:9" x14ac:dyDescent="0.25">
      <c r="A994" t="str">
        <f>"000855495"</f>
        <v>000855495</v>
      </c>
      <c r="B994" t="s">
        <v>3764</v>
      </c>
      <c r="D994" t="s">
        <v>3765</v>
      </c>
      <c r="G994" t="s">
        <v>64</v>
      </c>
      <c r="H994" t="s">
        <v>39</v>
      </c>
      <c r="I994" t="s">
        <v>3766</v>
      </c>
    </row>
    <row r="995" spans="1:9" x14ac:dyDescent="0.25">
      <c r="A995" t="str">
        <f>"000895698"</f>
        <v>000895698</v>
      </c>
      <c r="B995" t="s">
        <v>3767</v>
      </c>
      <c r="D995" t="s">
        <v>3768</v>
      </c>
      <c r="E995" t="s">
        <v>3769</v>
      </c>
      <c r="G995" t="s">
        <v>3702</v>
      </c>
      <c r="H995" t="s">
        <v>131</v>
      </c>
      <c r="I995" t="s">
        <v>3770</v>
      </c>
    </row>
    <row r="996" spans="1:9" x14ac:dyDescent="0.25">
      <c r="A996" t="str">
        <f>"000831023"</f>
        <v>000831023</v>
      </c>
      <c r="B996" t="s">
        <v>3771</v>
      </c>
      <c r="D996" t="s">
        <v>3772</v>
      </c>
      <c r="G996" t="s">
        <v>323</v>
      </c>
      <c r="H996" t="s">
        <v>84</v>
      </c>
      <c r="I996" t="s">
        <v>3773</v>
      </c>
    </row>
    <row r="997" spans="1:9" x14ac:dyDescent="0.25">
      <c r="A997" t="str">
        <f>"000890869"</f>
        <v>000890869</v>
      </c>
      <c r="B997" t="s">
        <v>3774</v>
      </c>
      <c r="D997" t="s">
        <v>3775</v>
      </c>
      <c r="E997" t="s">
        <v>3776</v>
      </c>
      <c r="G997" t="s">
        <v>136</v>
      </c>
      <c r="H997" t="s">
        <v>28</v>
      </c>
      <c r="I997" t="s">
        <v>3777</v>
      </c>
    </row>
    <row r="998" spans="1:9" x14ac:dyDescent="0.25">
      <c r="A998" t="str">
        <f>"000181288"</f>
        <v>000181288</v>
      </c>
      <c r="B998" t="s">
        <v>3778</v>
      </c>
      <c r="D998" t="s">
        <v>3779</v>
      </c>
      <c r="G998" t="s">
        <v>64</v>
      </c>
      <c r="H998" t="s">
        <v>39</v>
      </c>
      <c r="I998" t="s">
        <v>3780</v>
      </c>
    </row>
    <row r="999" spans="1:9" x14ac:dyDescent="0.25">
      <c r="A999" t="str">
        <f>"000179683"</f>
        <v>000179683</v>
      </c>
      <c r="B999" t="s">
        <v>3781</v>
      </c>
      <c r="D999" t="s">
        <v>3782</v>
      </c>
      <c r="G999" t="s">
        <v>64</v>
      </c>
      <c r="H999" t="s">
        <v>39</v>
      </c>
      <c r="I999" t="s">
        <v>3783</v>
      </c>
    </row>
    <row r="1000" spans="1:9" x14ac:dyDescent="0.25">
      <c r="A1000" t="str">
        <f>"000157400"</f>
        <v>000157400</v>
      </c>
      <c r="B1000" t="s">
        <v>3784</v>
      </c>
      <c r="D1000" t="s">
        <v>3785</v>
      </c>
      <c r="G1000" t="s">
        <v>3786</v>
      </c>
      <c r="H1000" t="s">
        <v>39</v>
      </c>
      <c r="I1000" t="s">
        <v>3787</v>
      </c>
    </row>
    <row r="1001" spans="1:9" x14ac:dyDescent="0.25">
      <c r="A1001" t="str">
        <f>"000178574"</f>
        <v>000178574</v>
      </c>
      <c r="B1001" t="s">
        <v>3788</v>
      </c>
      <c r="D1001" t="s">
        <v>3789</v>
      </c>
      <c r="G1001" t="s">
        <v>136</v>
      </c>
      <c r="H1001" t="s">
        <v>28</v>
      </c>
      <c r="I1001" t="s">
        <v>3790</v>
      </c>
    </row>
    <row r="1002" spans="1:9" x14ac:dyDescent="0.25">
      <c r="A1002" t="str">
        <f>"000881633"</f>
        <v>000881633</v>
      </c>
      <c r="B1002" t="s">
        <v>3791</v>
      </c>
      <c r="D1002" t="s">
        <v>3792</v>
      </c>
      <c r="G1002" t="s">
        <v>64</v>
      </c>
      <c r="H1002" t="s">
        <v>39</v>
      </c>
      <c r="I1002" t="s">
        <v>3793</v>
      </c>
    </row>
    <row r="1003" spans="1:9" x14ac:dyDescent="0.25">
      <c r="A1003" t="str">
        <f>"000917554"</f>
        <v>000917554</v>
      </c>
      <c r="B1003" t="s">
        <v>3794</v>
      </c>
      <c r="D1003" t="s">
        <v>3795</v>
      </c>
      <c r="G1003" t="s">
        <v>64</v>
      </c>
      <c r="H1003" t="s">
        <v>39</v>
      </c>
      <c r="I1003" t="s">
        <v>3796</v>
      </c>
    </row>
    <row r="1004" spans="1:9" x14ac:dyDescent="0.25">
      <c r="A1004" t="str">
        <f>"000569335"</f>
        <v>000569335</v>
      </c>
      <c r="B1004" t="s">
        <v>3797</v>
      </c>
      <c r="D1004" t="s">
        <v>3798</v>
      </c>
      <c r="E1004" t="s">
        <v>3799</v>
      </c>
      <c r="F1004" t="s">
        <v>3800</v>
      </c>
      <c r="G1004" t="s">
        <v>3801</v>
      </c>
      <c r="H1004" t="s">
        <v>34</v>
      </c>
      <c r="I1004">
        <v>45056</v>
      </c>
    </row>
    <row r="1005" spans="1:9" x14ac:dyDescent="0.25">
      <c r="A1005" t="str">
        <f>"000582849"</f>
        <v>000582849</v>
      </c>
      <c r="B1005" t="s">
        <v>3802</v>
      </c>
      <c r="D1005" t="s">
        <v>3803</v>
      </c>
      <c r="G1005" t="s">
        <v>64</v>
      </c>
      <c r="H1005" t="s">
        <v>39</v>
      </c>
      <c r="I1005" t="s">
        <v>3804</v>
      </c>
    </row>
    <row r="1006" spans="1:9" x14ac:dyDescent="0.25">
      <c r="A1006" t="str">
        <f>"000622502"</f>
        <v>000622502</v>
      </c>
      <c r="B1006" t="s">
        <v>3805</v>
      </c>
      <c r="D1006" t="s">
        <v>3806</v>
      </c>
      <c r="G1006" t="s">
        <v>295</v>
      </c>
      <c r="H1006" t="s">
        <v>296</v>
      </c>
      <c r="I1006" t="s">
        <v>3807</v>
      </c>
    </row>
    <row r="1007" spans="1:9" x14ac:dyDescent="0.25">
      <c r="A1007" t="str">
        <f>"000221274"</f>
        <v>000221274</v>
      </c>
      <c r="B1007" t="s">
        <v>3808</v>
      </c>
      <c r="D1007" t="s">
        <v>3809</v>
      </c>
      <c r="G1007" t="s">
        <v>3810</v>
      </c>
      <c r="I1007">
        <v>75006</v>
      </c>
    </row>
    <row r="1008" spans="1:9" x14ac:dyDescent="0.25">
      <c r="A1008" t="str">
        <f>"000246605"</f>
        <v>000246605</v>
      </c>
      <c r="B1008" t="s">
        <v>3811</v>
      </c>
      <c r="D1008" t="s">
        <v>3812</v>
      </c>
      <c r="E1008" t="s">
        <v>3813</v>
      </c>
      <c r="G1008" t="s">
        <v>1567</v>
      </c>
      <c r="H1008" t="s">
        <v>1568</v>
      </c>
      <c r="I1008" t="s">
        <v>3814</v>
      </c>
    </row>
    <row r="1009" spans="1:9" x14ac:dyDescent="0.25">
      <c r="A1009" t="str">
        <f>"000160958"</f>
        <v>000160958</v>
      </c>
      <c r="B1009" t="s">
        <v>3815</v>
      </c>
      <c r="D1009" t="s">
        <v>3816</v>
      </c>
      <c r="E1009" t="s">
        <v>3817</v>
      </c>
      <c r="G1009" t="s">
        <v>3818</v>
      </c>
      <c r="H1009" t="s">
        <v>1972</v>
      </c>
      <c r="I1009" t="s">
        <v>3819</v>
      </c>
    </row>
    <row r="1010" spans="1:9" x14ac:dyDescent="0.25">
      <c r="A1010" t="str">
        <f>"000219307"</f>
        <v>000219307</v>
      </c>
      <c r="B1010" t="s">
        <v>3820</v>
      </c>
      <c r="D1010" t="s">
        <v>3821</v>
      </c>
      <c r="G1010" t="s">
        <v>90</v>
      </c>
      <c r="H1010" t="s">
        <v>39</v>
      </c>
      <c r="I1010" t="s">
        <v>3822</v>
      </c>
    </row>
    <row r="1011" spans="1:9" x14ac:dyDescent="0.25">
      <c r="A1011" t="str">
        <f>"000184695"</f>
        <v>000184695</v>
      </c>
      <c r="B1011" t="s">
        <v>3823</v>
      </c>
      <c r="D1011" t="s">
        <v>3824</v>
      </c>
      <c r="G1011" t="s">
        <v>3825</v>
      </c>
      <c r="H1011" t="s">
        <v>34</v>
      </c>
      <c r="I1011" t="s">
        <v>3826</v>
      </c>
    </row>
    <row r="1012" spans="1:9" x14ac:dyDescent="0.25">
      <c r="A1012" t="str">
        <f>"000323216"</f>
        <v>000323216</v>
      </c>
      <c r="B1012" t="s">
        <v>3827</v>
      </c>
      <c r="D1012" t="s">
        <v>3828</v>
      </c>
      <c r="E1012" t="s">
        <v>11</v>
      </c>
      <c r="G1012" t="s">
        <v>12</v>
      </c>
      <c r="H1012" t="s">
        <v>13</v>
      </c>
      <c r="I1012" t="s">
        <v>3829</v>
      </c>
    </row>
    <row r="1013" spans="1:9" x14ac:dyDescent="0.25">
      <c r="A1013" t="str">
        <f>"000324267"</f>
        <v>000324267</v>
      </c>
      <c r="B1013" t="s">
        <v>3830</v>
      </c>
      <c r="D1013" t="s">
        <v>3831</v>
      </c>
      <c r="G1013" t="s">
        <v>3832</v>
      </c>
      <c r="H1013" t="s">
        <v>182</v>
      </c>
      <c r="I1013" t="s">
        <v>3833</v>
      </c>
    </row>
    <row r="1014" spans="1:9" x14ac:dyDescent="0.25">
      <c r="A1014" t="str">
        <f>"000322813"</f>
        <v>000322813</v>
      </c>
      <c r="B1014" t="s">
        <v>3834</v>
      </c>
      <c r="D1014" t="s">
        <v>3835</v>
      </c>
      <c r="E1014" t="s">
        <v>3836</v>
      </c>
      <c r="G1014" t="s">
        <v>64</v>
      </c>
      <c r="H1014" t="s">
        <v>39</v>
      </c>
      <c r="I1014" t="s">
        <v>3837</v>
      </c>
    </row>
    <row r="1015" spans="1:9" x14ac:dyDescent="0.25">
      <c r="A1015" t="str">
        <f>"000322825"</f>
        <v>000322825</v>
      </c>
      <c r="B1015" t="s">
        <v>3838</v>
      </c>
      <c r="D1015" t="s">
        <v>3839</v>
      </c>
      <c r="G1015" t="s">
        <v>165</v>
      </c>
      <c r="H1015" t="s">
        <v>166</v>
      </c>
      <c r="I1015" t="s">
        <v>3840</v>
      </c>
    </row>
    <row r="1016" spans="1:9" x14ac:dyDescent="0.25">
      <c r="A1016" t="str">
        <f>"000322519"</f>
        <v>000322519</v>
      </c>
      <c r="B1016" t="s">
        <v>3841</v>
      </c>
      <c r="D1016" t="s">
        <v>3842</v>
      </c>
      <c r="G1016" t="s">
        <v>170</v>
      </c>
      <c r="H1016" t="s">
        <v>171</v>
      </c>
      <c r="I1016" t="s">
        <v>3843</v>
      </c>
    </row>
    <row r="1017" spans="1:9" x14ac:dyDescent="0.25">
      <c r="A1017" t="str">
        <f>"000170307"</f>
        <v>000170307</v>
      </c>
      <c r="B1017" t="s">
        <v>3844</v>
      </c>
      <c r="D1017" t="s">
        <v>3845</v>
      </c>
      <c r="E1017" t="s">
        <v>3846</v>
      </c>
      <c r="F1017" t="s">
        <v>3847</v>
      </c>
      <c r="G1017" t="s">
        <v>214</v>
      </c>
      <c r="H1017" t="s">
        <v>120</v>
      </c>
      <c r="I1017" t="s">
        <v>3848</v>
      </c>
    </row>
    <row r="1018" spans="1:9" x14ac:dyDescent="0.25">
      <c r="A1018" t="str">
        <f>"000322652"</f>
        <v>000322652</v>
      </c>
      <c r="B1018" t="s">
        <v>3849</v>
      </c>
      <c r="D1018" t="s">
        <v>3850</v>
      </c>
      <c r="G1018" t="s">
        <v>60</v>
      </c>
      <c r="H1018" t="s">
        <v>28</v>
      </c>
      <c r="I1018" t="s">
        <v>3851</v>
      </c>
    </row>
    <row r="1019" spans="1:9" x14ac:dyDescent="0.25">
      <c r="A1019" t="str">
        <f>"000322808"</f>
        <v>000322808</v>
      </c>
      <c r="B1019" t="s">
        <v>3852</v>
      </c>
      <c r="D1019" t="s">
        <v>3853</v>
      </c>
      <c r="E1019" t="s">
        <v>2794</v>
      </c>
      <c r="G1019" t="s">
        <v>64</v>
      </c>
      <c r="H1019" t="s">
        <v>39</v>
      </c>
      <c r="I1019" t="s">
        <v>3854</v>
      </c>
    </row>
    <row r="1020" spans="1:9" x14ac:dyDescent="0.25">
      <c r="A1020" t="str">
        <f>"000324200"</f>
        <v>000324200</v>
      </c>
      <c r="B1020" t="s">
        <v>3855</v>
      </c>
      <c r="D1020" t="s">
        <v>3856</v>
      </c>
      <c r="E1020" t="s">
        <v>3857</v>
      </c>
      <c r="G1020" t="s">
        <v>3858</v>
      </c>
      <c r="H1020" t="s">
        <v>28</v>
      </c>
      <c r="I1020" t="s">
        <v>3859</v>
      </c>
    </row>
    <row r="1021" spans="1:9" x14ac:dyDescent="0.25">
      <c r="A1021" t="str">
        <f>"000322583"</f>
        <v>000322583</v>
      </c>
      <c r="B1021" t="s">
        <v>3860</v>
      </c>
      <c r="D1021" t="s">
        <v>3861</v>
      </c>
      <c r="G1021" t="s">
        <v>60</v>
      </c>
      <c r="H1021" t="s">
        <v>28</v>
      </c>
      <c r="I1021" t="s">
        <v>3862</v>
      </c>
    </row>
    <row r="1022" spans="1:9" x14ac:dyDescent="0.25">
      <c r="A1022" t="str">
        <f>"000333197"</f>
        <v>000333197</v>
      </c>
      <c r="B1022" t="s">
        <v>3863</v>
      </c>
      <c r="D1022" t="s">
        <v>3864</v>
      </c>
      <c r="G1022" t="s">
        <v>64</v>
      </c>
      <c r="H1022" t="s">
        <v>39</v>
      </c>
      <c r="I1022" t="s">
        <v>3865</v>
      </c>
    </row>
    <row r="1023" spans="1:9" x14ac:dyDescent="0.25">
      <c r="A1023" t="str">
        <f>"000322413"</f>
        <v>000322413</v>
      </c>
      <c r="B1023" t="s">
        <v>3866</v>
      </c>
      <c r="D1023" t="s">
        <v>3867</v>
      </c>
      <c r="E1023" t="s">
        <v>3868</v>
      </c>
      <c r="G1023" t="s">
        <v>60</v>
      </c>
      <c r="H1023" t="s">
        <v>28</v>
      </c>
      <c r="I1023" t="s">
        <v>3869</v>
      </c>
    </row>
    <row r="1024" spans="1:9" x14ac:dyDescent="0.25">
      <c r="A1024" t="str">
        <f>"000169679"</f>
        <v>000169679</v>
      </c>
      <c r="B1024" t="s">
        <v>3870</v>
      </c>
      <c r="D1024" t="s">
        <v>3871</v>
      </c>
      <c r="E1024" t="s">
        <v>3872</v>
      </c>
      <c r="G1024" t="s">
        <v>275</v>
      </c>
      <c r="H1024" t="s">
        <v>23</v>
      </c>
      <c r="I1024" t="s">
        <v>3873</v>
      </c>
    </row>
    <row r="1025" spans="1:9" x14ac:dyDescent="0.25">
      <c r="A1025" t="str">
        <f>"000324347"</f>
        <v>000324347</v>
      </c>
      <c r="B1025" t="s">
        <v>3874</v>
      </c>
      <c r="D1025" t="s">
        <v>3875</v>
      </c>
      <c r="G1025" t="s">
        <v>3876</v>
      </c>
      <c r="H1025" t="s">
        <v>28</v>
      </c>
      <c r="I1025" t="s">
        <v>3877</v>
      </c>
    </row>
    <row r="1026" spans="1:9" x14ac:dyDescent="0.25">
      <c r="A1026" t="str">
        <f>"000201231"</f>
        <v>000201231</v>
      </c>
      <c r="B1026" t="s">
        <v>3878</v>
      </c>
      <c r="D1026" t="s">
        <v>3879</v>
      </c>
      <c r="E1026" t="s">
        <v>3762</v>
      </c>
      <c r="G1026" t="s">
        <v>64</v>
      </c>
      <c r="H1026" t="s">
        <v>39</v>
      </c>
      <c r="I1026" t="s">
        <v>3880</v>
      </c>
    </row>
    <row r="1027" spans="1:9" x14ac:dyDescent="0.25">
      <c r="A1027" t="str">
        <f>"000244094"</f>
        <v>000244094</v>
      </c>
      <c r="B1027" t="s">
        <v>3881</v>
      </c>
      <c r="D1027" t="s">
        <v>3882</v>
      </c>
      <c r="G1027" t="s">
        <v>104</v>
      </c>
      <c r="H1027" t="s">
        <v>28</v>
      </c>
      <c r="I1027" t="s">
        <v>3883</v>
      </c>
    </row>
    <row r="1028" spans="1:9" x14ac:dyDescent="0.25">
      <c r="A1028" t="str">
        <f>"000306398"</f>
        <v>000306398</v>
      </c>
      <c r="B1028" t="s">
        <v>3884</v>
      </c>
      <c r="D1028" t="s">
        <v>3885</v>
      </c>
      <c r="G1028" t="s">
        <v>64</v>
      </c>
      <c r="H1028" t="s">
        <v>39</v>
      </c>
      <c r="I1028" t="s">
        <v>3886</v>
      </c>
    </row>
    <row r="1029" spans="1:9" x14ac:dyDescent="0.25">
      <c r="A1029" t="str">
        <f>"000298828"</f>
        <v>000298828</v>
      </c>
      <c r="B1029" t="s">
        <v>3887</v>
      </c>
      <c r="D1029" t="s">
        <v>3888</v>
      </c>
      <c r="G1029" t="s">
        <v>3889</v>
      </c>
      <c r="I1029" t="s">
        <v>3890</v>
      </c>
    </row>
    <row r="1030" spans="1:9" x14ac:dyDescent="0.25">
      <c r="A1030" t="str">
        <f>"000298840"</f>
        <v>000298840</v>
      </c>
      <c r="B1030" t="s">
        <v>3891</v>
      </c>
      <c r="D1030" t="s">
        <v>3892</v>
      </c>
      <c r="G1030" t="s">
        <v>3893</v>
      </c>
      <c r="I1030">
        <v>120</v>
      </c>
    </row>
    <row r="1031" spans="1:9" x14ac:dyDescent="0.25">
      <c r="A1031" t="str">
        <f>"000283979"</f>
        <v>000283979</v>
      </c>
      <c r="B1031" t="s">
        <v>3894</v>
      </c>
      <c r="D1031" t="s">
        <v>3895</v>
      </c>
      <c r="E1031" t="s">
        <v>3896</v>
      </c>
      <c r="F1031" t="s">
        <v>3897</v>
      </c>
      <c r="G1031" t="s">
        <v>64</v>
      </c>
      <c r="H1031" t="s">
        <v>39</v>
      </c>
      <c r="I1031" t="s">
        <v>3898</v>
      </c>
    </row>
    <row r="1032" spans="1:9" x14ac:dyDescent="0.25">
      <c r="A1032" t="str">
        <f>"000362576"</f>
        <v>000362576</v>
      </c>
      <c r="B1032" t="s">
        <v>3899</v>
      </c>
      <c r="D1032" t="s">
        <v>3900</v>
      </c>
      <c r="E1032" t="s">
        <v>3901</v>
      </c>
      <c r="G1032" t="s">
        <v>2661</v>
      </c>
      <c r="I1032" t="s">
        <v>3902</v>
      </c>
    </row>
    <row r="1033" spans="1:9" x14ac:dyDescent="0.25">
      <c r="A1033" t="str">
        <f>"000363229"</f>
        <v>000363229</v>
      </c>
      <c r="B1033" t="s">
        <v>3903</v>
      </c>
      <c r="D1033" t="s">
        <v>3904</v>
      </c>
      <c r="G1033" t="s">
        <v>1567</v>
      </c>
      <c r="H1033" t="s">
        <v>1568</v>
      </c>
      <c r="I1033" t="s">
        <v>3905</v>
      </c>
    </row>
    <row r="1034" spans="1:9" x14ac:dyDescent="0.25">
      <c r="A1034" t="str">
        <f>"000379422"</f>
        <v>000379422</v>
      </c>
      <c r="B1034" t="s">
        <v>3906</v>
      </c>
      <c r="D1034" t="s">
        <v>3907</v>
      </c>
      <c r="G1034" t="s">
        <v>3908</v>
      </c>
      <c r="H1034" t="s">
        <v>513</v>
      </c>
      <c r="I1034" t="s">
        <v>3909</v>
      </c>
    </row>
    <row r="1035" spans="1:9" x14ac:dyDescent="0.25">
      <c r="A1035" t="str">
        <f>"000408794"</f>
        <v>000408794</v>
      </c>
      <c r="B1035" t="s">
        <v>3910</v>
      </c>
      <c r="D1035" t="s">
        <v>3911</v>
      </c>
      <c r="E1035" t="s">
        <v>3912</v>
      </c>
      <c r="G1035" t="s">
        <v>64</v>
      </c>
      <c r="H1035" t="s">
        <v>39</v>
      </c>
      <c r="I1035" t="s">
        <v>3913</v>
      </c>
    </row>
    <row r="1036" spans="1:9" x14ac:dyDescent="0.25">
      <c r="A1036" t="str">
        <f>"000388335"</f>
        <v>000388335</v>
      </c>
      <c r="B1036" t="s">
        <v>3914</v>
      </c>
      <c r="D1036" t="s">
        <v>3915</v>
      </c>
      <c r="G1036" t="s">
        <v>64</v>
      </c>
      <c r="H1036" t="s">
        <v>39</v>
      </c>
      <c r="I1036" t="s">
        <v>3916</v>
      </c>
    </row>
    <row r="1037" spans="1:9" x14ac:dyDescent="0.25">
      <c r="A1037" t="str">
        <f>"000429736"</f>
        <v>000429736</v>
      </c>
      <c r="B1037" t="s">
        <v>3917</v>
      </c>
      <c r="D1037" t="s">
        <v>3918</v>
      </c>
      <c r="G1037" t="s">
        <v>64</v>
      </c>
      <c r="H1037" t="s">
        <v>39</v>
      </c>
      <c r="I1037" t="s">
        <v>3919</v>
      </c>
    </row>
    <row r="1038" spans="1:9" x14ac:dyDescent="0.25">
      <c r="A1038" t="str">
        <f>"000435649"</f>
        <v>000435649</v>
      </c>
      <c r="B1038" t="s">
        <v>3920</v>
      </c>
      <c r="D1038" t="s">
        <v>3921</v>
      </c>
      <c r="E1038" t="s">
        <v>3922</v>
      </c>
      <c r="G1038" t="s">
        <v>3923</v>
      </c>
      <c r="H1038" t="s">
        <v>477</v>
      </c>
      <c r="I1038" t="s">
        <v>3924</v>
      </c>
    </row>
    <row r="1039" spans="1:9" x14ac:dyDescent="0.25">
      <c r="A1039" t="str">
        <f>"000449458"</f>
        <v>000449458</v>
      </c>
      <c r="B1039" t="s">
        <v>3925</v>
      </c>
      <c r="D1039" t="s">
        <v>3926</v>
      </c>
      <c r="E1039" t="s">
        <v>3927</v>
      </c>
      <c r="G1039" t="s">
        <v>3928</v>
      </c>
      <c r="H1039" t="s">
        <v>827</v>
      </c>
      <c r="I1039" t="s">
        <v>3929</v>
      </c>
    </row>
    <row r="1040" spans="1:9" x14ac:dyDescent="0.25">
      <c r="A1040" t="str">
        <f>"000465922"</f>
        <v>000465922</v>
      </c>
      <c r="B1040" t="s">
        <v>3930</v>
      </c>
      <c r="D1040" t="s">
        <v>3931</v>
      </c>
      <c r="G1040" t="s">
        <v>3932</v>
      </c>
      <c r="H1040" t="s">
        <v>75</v>
      </c>
      <c r="I1040" t="s">
        <v>3933</v>
      </c>
    </row>
    <row r="1041" spans="1:9" x14ac:dyDescent="0.25">
      <c r="A1041" t="str">
        <f>"000478708"</f>
        <v>000478708</v>
      </c>
      <c r="B1041" t="s">
        <v>3934</v>
      </c>
      <c r="D1041" t="s">
        <v>3935</v>
      </c>
      <c r="G1041" t="s">
        <v>64</v>
      </c>
      <c r="H1041" t="s">
        <v>39</v>
      </c>
      <c r="I1041" t="s">
        <v>3936</v>
      </c>
    </row>
    <row r="1042" spans="1:9" x14ac:dyDescent="0.25">
      <c r="A1042" t="str">
        <f>"000491047"</f>
        <v>000491047</v>
      </c>
      <c r="B1042" t="s">
        <v>3937</v>
      </c>
      <c r="D1042" t="s">
        <v>3938</v>
      </c>
      <c r="G1042" t="s">
        <v>3939</v>
      </c>
      <c r="H1042" t="s">
        <v>879</v>
      </c>
      <c r="I1042" t="s">
        <v>3940</v>
      </c>
    </row>
    <row r="1043" spans="1:9" x14ac:dyDescent="0.25">
      <c r="A1043" t="str">
        <f>"000484040"</f>
        <v>000484040</v>
      </c>
      <c r="B1043" t="s">
        <v>3941</v>
      </c>
      <c r="D1043" t="s">
        <v>3942</v>
      </c>
      <c r="G1043" t="s">
        <v>90</v>
      </c>
      <c r="H1043" t="s">
        <v>39</v>
      </c>
      <c r="I1043" t="s">
        <v>3943</v>
      </c>
    </row>
    <row r="1044" spans="1:9" x14ac:dyDescent="0.25">
      <c r="A1044" t="str">
        <f>"000479644"</f>
        <v>000479644</v>
      </c>
      <c r="B1044" t="s">
        <v>3944</v>
      </c>
      <c r="D1044" t="s">
        <v>3945</v>
      </c>
      <c r="E1044" t="s">
        <v>3946</v>
      </c>
      <c r="G1044" t="s">
        <v>3947</v>
      </c>
      <c r="H1044" t="s">
        <v>28</v>
      </c>
      <c r="I1044" t="s">
        <v>3948</v>
      </c>
    </row>
    <row r="1045" spans="1:9" x14ac:dyDescent="0.25">
      <c r="A1045" t="str">
        <f>"000480350"</f>
        <v>000480350</v>
      </c>
      <c r="B1045" t="s">
        <v>3949</v>
      </c>
      <c r="D1045" t="s">
        <v>3950</v>
      </c>
      <c r="G1045" t="s">
        <v>64</v>
      </c>
      <c r="H1045" t="s">
        <v>39</v>
      </c>
      <c r="I1045" t="s">
        <v>3951</v>
      </c>
    </row>
    <row r="1046" spans="1:9" x14ac:dyDescent="0.25">
      <c r="A1046" t="str">
        <f>"000491411"</f>
        <v>000491411</v>
      </c>
      <c r="B1046" t="s">
        <v>3952</v>
      </c>
      <c r="D1046" t="s">
        <v>3953</v>
      </c>
      <c r="E1046" t="s">
        <v>3954</v>
      </c>
      <c r="G1046" t="s">
        <v>1580</v>
      </c>
      <c r="H1046" t="s">
        <v>39</v>
      </c>
      <c r="I1046" t="s">
        <v>3955</v>
      </c>
    </row>
    <row r="1047" spans="1:9" x14ac:dyDescent="0.25">
      <c r="A1047" t="str">
        <f>"001036102"</f>
        <v>001036102</v>
      </c>
      <c r="B1047" t="s">
        <v>3956</v>
      </c>
      <c r="D1047" t="s">
        <v>3957</v>
      </c>
      <c r="G1047" t="s">
        <v>890</v>
      </c>
      <c r="H1047" t="s">
        <v>39</v>
      </c>
      <c r="I1047" t="s">
        <v>3958</v>
      </c>
    </row>
    <row r="1048" spans="1:9" x14ac:dyDescent="0.25">
      <c r="A1048" t="str">
        <f>"000634725"</f>
        <v>000634725</v>
      </c>
      <c r="B1048" t="s">
        <v>3959</v>
      </c>
      <c r="D1048" t="s">
        <v>3960</v>
      </c>
      <c r="G1048" t="s">
        <v>1305</v>
      </c>
      <c r="H1048" t="s">
        <v>131</v>
      </c>
      <c r="I1048" t="s">
        <v>3961</v>
      </c>
    </row>
    <row r="1049" spans="1:9" x14ac:dyDescent="0.25">
      <c r="A1049" t="str">
        <f>"000489831"</f>
        <v>000489831</v>
      </c>
      <c r="B1049" t="s">
        <v>3962</v>
      </c>
      <c r="D1049" t="s">
        <v>3963</v>
      </c>
      <c r="G1049" t="s">
        <v>267</v>
      </c>
      <c r="H1049" t="s">
        <v>39</v>
      </c>
      <c r="I1049" t="s">
        <v>3964</v>
      </c>
    </row>
    <row r="1050" spans="1:9" x14ac:dyDescent="0.25">
      <c r="A1050" t="str">
        <f>"000669596"</f>
        <v>000669596</v>
      </c>
      <c r="B1050" t="s">
        <v>3965</v>
      </c>
      <c r="D1050" t="s">
        <v>3966</v>
      </c>
      <c r="G1050" t="s">
        <v>64</v>
      </c>
      <c r="H1050" t="s">
        <v>39</v>
      </c>
      <c r="I1050" t="s">
        <v>3967</v>
      </c>
    </row>
    <row r="1051" spans="1:9" x14ac:dyDescent="0.25">
      <c r="A1051" t="str">
        <f>"000654029"</f>
        <v>000654029</v>
      </c>
      <c r="B1051" t="s">
        <v>3968</v>
      </c>
      <c r="D1051" t="s">
        <v>3969</v>
      </c>
      <c r="E1051" t="s">
        <v>3970</v>
      </c>
      <c r="G1051" t="s">
        <v>170</v>
      </c>
      <c r="H1051" t="s">
        <v>171</v>
      </c>
      <c r="I1051" t="s">
        <v>3971</v>
      </c>
    </row>
    <row r="1052" spans="1:9" x14ac:dyDescent="0.25">
      <c r="A1052" t="str">
        <f>"000677748"</f>
        <v>000677748</v>
      </c>
      <c r="B1052" t="s">
        <v>3972</v>
      </c>
      <c r="D1052" t="s">
        <v>3973</v>
      </c>
      <c r="E1052" t="s">
        <v>3974</v>
      </c>
      <c r="G1052" t="s">
        <v>1493</v>
      </c>
      <c r="H1052" t="s">
        <v>39</v>
      </c>
      <c r="I1052" t="s">
        <v>3975</v>
      </c>
    </row>
    <row r="1053" spans="1:9" x14ac:dyDescent="0.25">
      <c r="A1053" t="str">
        <f>"000681961"</f>
        <v>000681961</v>
      </c>
      <c r="B1053" t="s">
        <v>3976</v>
      </c>
      <c r="D1053" t="s">
        <v>3977</v>
      </c>
      <c r="E1053" t="s">
        <v>3978</v>
      </c>
      <c r="G1053" t="s">
        <v>1045</v>
      </c>
      <c r="H1053" t="s">
        <v>161</v>
      </c>
      <c r="I1053" t="s">
        <v>3979</v>
      </c>
    </row>
    <row r="1054" spans="1:9" x14ac:dyDescent="0.25">
      <c r="A1054" t="str">
        <f>"000691377"</f>
        <v>000691377</v>
      </c>
      <c r="B1054" t="s">
        <v>3980</v>
      </c>
      <c r="D1054" t="s">
        <v>3981</v>
      </c>
      <c r="G1054" t="s">
        <v>64</v>
      </c>
      <c r="H1054" t="s">
        <v>39</v>
      </c>
      <c r="I1054" t="s">
        <v>3982</v>
      </c>
    </row>
    <row r="1055" spans="1:9" x14ac:dyDescent="0.25">
      <c r="A1055" t="str">
        <f>"000707491"</f>
        <v>000707491</v>
      </c>
      <c r="B1055" t="s">
        <v>3983</v>
      </c>
      <c r="D1055" t="s">
        <v>3984</v>
      </c>
      <c r="G1055" t="s">
        <v>2501</v>
      </c>
      <c r="H1055" t="s">
        <v>39</v>
      </c>
      <c r="I1055" t="s">
        <v>3985</v>
      </c>
    </row>
    <row r="1056" spans="1:9" x14ac:dyDescent="0.25">
      <c r="A1056" t="str">
        <f>"000706618"</f>
        <v>000706618</v>
      </c>
      <c r="B1056" t="s">
        <v>3986</v>
      </c>
      <c r="D1056" t="s">
        <v>3987</v>
      </c>
      <c r="G1056" t="s">
        <v>64</v>
      </c>
      <c r="H1056" t="s">
        <v>39</v>
      </c>
      <c r="I1056" t="s">
        <v>3988</v>
      </c>
    </row>
    <row r="1057" spans="1:9" x14ac:dyDescent="0.25">
      <c r="A1057" t="str">
        <f>"000732465"</f>
        <v>000732465</v>
      </c>
      <c r="B1057" t="s">
        <v>3989</v>
      </c>
      <c r="D1057" t="s">
        <v>3990</v>
      </c>
      <c r="E1057" t="s">
        <v>2794</v>
      </c>
      <c r="G1057" t="s">
        <v>64</v>
      </c>
      <c r="H1057" t="s">
        <v>39</v>
      </c>
      <c r="I1057" t="s">
        <v>3991</v>
      </c>
    </row>
    <row r="1058" spans="1:9" x14ac:dyDescent="0.25">
      <c r="A1058" t="str">
        <f>"000738191"</f>
        <v>000738191</v>
      </c>
      <c r="B1058" t="s">
        <v>3992</v>
      </c>
      <c r="D1058" t="s">
        <v>3993</v>
      </c>
      <c r="G1058" t="s">
        <v>291</v>
      </c>
      <c r="H1058" t="s">
        <v>182</v>
      </c>
      <c r="I1058" t="s">
        <v>3994</v>
      </c>
    </row>
    <row r="1059" spans="1:9" x14ac:dyDescent="0.25">
      <c r="A1059" t="str">
        <f>"000714110"</f>
        <v>000714110</v>
      </c>
      <c r="B1059" t="s">
        <v>3995</v>
      </c>
      <c r="D1059" t="s">
        <v>3996</v>
      </c>
      <c r="E1059" t="s">
        <v>3997</v>
      </c>
      <c r="G1059" t="s">
        <v>64</v>
      </c>
      <c r="H1059" t="s">
        <v>39</v>
      </c>
      <c r="I1059" t="s">
        <v>3998</v>
      </c>
    </row>
    <row r="1060" spans="1:9" x14ac:dyDescent="0.25">
      <c r="A1060" t="str">
        <f>"000713089"</f>
        <v>000713089</v>
      </c>
      <c r="B1060" t="s">
        <v>3999</v>
      </c>
      <c r="D1060" t="s">
        <v>4000</v>
      </c>
      <c r="E1060" t="s">
        <v>4001</v>
      </c>
      <c r="G1060" t="s">
        <v>83</v>
      </c>
      <c r="H1060" t="s">
        <v>84</v>
      </c>
      <c r="I1060" t="s">
        <v>4002</v>
      </c>
    </row>
    <row r="1061" spans="1:9" x14ac:dyDescent="0.25">
      <c r="A1061" t="str">
        <f>"000743099"</f>
        <v>000743099</v>
      </c>
      <c r="B1061" t="s">
        <v>4003</v>
      </c>
      <c r="D1061" t="s">
        <v>4004</v>
      </c>
      <c r="E1061" t="s">
        <v>4005</v>
      </c>
      <c r="G1061" t="s">
        <v>4006</v>
      </c>
      <c r="I1061" t="s">
        <v>4007</v>
      </c>
    </row>
    <row r="1062" spans="1:9" x14ac:dyDescent="0.25">
      <c r="A1062" t="str">
        <f>"000740234"</f>
        <v>000740234</v>
      </c>
      <c r="B1062" t="s">
        <v>4008</v>
      </c>
      <c r="D1062" t="s">
        <v>4009</v>
      </c>
      <c r="E1062" t="s">
        <v>4010</v>
      </c>
      <c r="G1062" t="s">
        <v>214</v>
      </c>
      <c r="H1062" t="s">
        <v>120</v>
      </c>
      <c r="I1062" t="s">
        <v>4011</v>
      </c>
    </row>
    <row r="1063" spans="1:9" x14ac:dyDescent="0.25">
      <c r="A1063" t="str">
        <f>"000741912"</f>
        <v>000741912</v>
      </c>
      <c r="B1063" t="s">
        <v>4012</v>
      </c>
      <c r="D1063" t="s">
        <v>4013</v>
      </c>
      <c r="E1063" t="s">
        <v>4014</v>
      </c>
      <c r="G1063" t="s">
        <v>64</v>
      </c>
      <c r="H1063" t="s">
        <v>39</v>
      </c>
      <c r="I1063" t="s">
        <v>4015</v>
      </c>
    </row>
    <row r="1064" spans="1:9" x14ac:dyDescent="0.25">
      <c r="A1064" t="str">
        <f>"000751750"</f>
        <v>000751750</v>
      </c>
      <c r="B1064" t="s">
        <v>4016</v>
      </c>
      <c r="D1064" t="s">
        <v>4017</v>
      </c>
      <c r="G1064" t="s">
        <v>83</v>
      </c>
      <c r="H1064" t="s">
        <v>84</v>
      </c>
      <c r="I1064" t="s">
        <v>4018</v>
      </c>
    </row>
    <row r="1065" spans="1:9" x14ac:dyDescent="0.25">
      <c r="A1065" t="str">
        <f>"000754834"</f>
        <v>000754834</v>
      </c>
      <c r="B1065" t="s">
        <v>4019</v>
      </c>
      <c r="D1065" t="s">
        <v>4020</v>
      </c>
      <c r="E1065" t="s">
        <v>4021</v>
      </c>
      <c r="G1065" t="s">
        <v>1768</v>
      </c>
      <c r="H1065" t="s">
        <v>827</v>
      </c>
      <c r="I1065" t="s">
        <v>4022</v>
      </c>
    </row>
    <row r="1066" spans="1:9" x14ac:dyDescent="0.25">
      <c r="A1066" t="str">
        <f>"000783098"</f>
        <v>000783098</v>
      </c>
      <c r="B1066" t="s">
        <v>4023</v>
      </c>
      <c r="D1066" t="s">
        <v>4024</v>
      </c>
      <c r="G1066" t="s">
        <v>4025</v>
      </c>
      <c r="H1066" t="s">
        <v>477</v>
      </c>
      <c r="I1066" t="s">
        <v>4026</v>
      </c>
    </row>
    <row r="1067" spans="1:9" x14ac:dyDescent="0.25">
      <c r="A1067" t="str">
        <f>"000792050"</f>
        <v>000792050</v>
      </c>
      <c r="B1067" t="s">
        <v>4027</v>
      </c>
      <c r="D1067" t="s">
        <v>1851</v>
      </c>
      <c r="G1067" t="s">
        <v>700</v>
      </c>
      <c r="H1067" t="s">
        <v>28</v>
      </c>
      <c r="I1067" t="s">
        <v>4028</v>
      </c>
    </row>
    <row r="1068" spans="1:9" x14ac:dyDescent="0.25">
      <c r="A1068" t="str">
        <f>"000754747"</f>
        <v>000754747</v>
      </c>
      <c r="B1068" t="s">
        <v>4029</v>
      </c>
      <c r="D1068" t="s">
        <v>4030</v>
      </c>
      <c r="G1068" t="s">
        <v>83</v>
      </c>
      <c r="H1068" t="s">
        <v>84</v>
      </c>
      <c r="I1068" t="s">
        <v>4031</v>
      </c>
    </row>
    <row r="1069" spans="1:9" x14ac:dyDescent="0.25">
      <c r="A1069" t="str">
        <f>"000779282"</f>
        <v>000779282</v>
      </c>
      <c r="B1069" t="s">
        <v>4032</v>
      </c>
      <c r="D1069" t="s">
        <v>4033</v>
      </c>
      <c r="G1069" t="s">
        <v>64</v>
      </c>
      <c r="H1069" t="s">
        <v>39</v>
      </c>
      <c r="I1069" t="s">
        <v>4034</v>
      </c>
    </row>
    <row r="1070" spans="1:9" x14ac:dyDescent="0.25">
      <c r="A1070" t="str">
        <f>"000791967"</f>
        <v>000791967</v>
      </c>
      <c r="B1070" t="s">
        <v>4035</v>
      </c>
      <c r="D1070" t="s">
        <v>4036</v>
      </c>
      <c r="G1070" t="s">
        <v>678</v>
      </c>
      <c r="H1070" t="s">
        <v>28</v>
      </c>
      <c r="I1070" t="s">
        <v>4037</v>
      </c>
    </row>
    <row r="1071" spans="1:9" x14ac:dyDescent="0.25">
      <c r="A1071" t="str">
        <f>"000799945"</f>
        <v>000799945</v>
      </c>
      <c r="B1071" t="s">
        <v>4038</v>
      </c>
      <c r="D1071" t="s">
        <v>4039</v>
      </c>
      <c r="G1071" t="s">
        <v>994</v>
      </c>
      <c r="H1071" t="s">
        <v>879</v>
      </c>
      <c r="I1071" t="s">
        <v>4040</v>
      </c>
    </row>
    <row r="1072" spans="1:9" x14ac:dyDescent="0.25">
      <c r="A1072" t="str">
        <f>"000799951"</f>
        <v>000799951</v>
      </c>
      <c r="B1072" t="s">
        <v>4041</v>
      </c>
      <c r="D1072" t="s">
        <v>4042</v>
      </c>
      <c r="G1072" t="s">
        <v>64</v>
      </c>
      <c r="H1072" t="s">
        <v>39</v>
      </c>
      <c r="I1072">
        <v>63122</v>
      </c>
    </row>
    <row r="1073" spans="1:9" x14ac:dyDescent="0.25">
      <c r="A1073" t="str">
        <f>"000795264"</f>
        <v>000795264</v>
      </c>
      <c r="B1073" t="s">
        <v>4043</v>
      </c>
      <c r="D1073" t="s">
        <v>4044</v>
      </c>
      <c r="E1073" t="s">
        <v>4045</v>
      </c>
      <c r="G1073" t="s">
        <v>4046</v>
      </c>
      <c r="H1073" t="s">
        <v>51</v>
      </c>
      <c r="I1073" t="s">
        <v>4047</v>
      </c>
    </row>
    <row r="1074" spans="1:9" x14ac:dyDescent="0.25">
      <c r="A1074" t="str">
        <f>"000771792"</f>
        <v>000771792</v>
      </c>
      <c r="B1074" t="s">
        <v>4048</v>
      </c>
      <c r="D1074" t="s">
        <v>4049</v>
      </c>
      <c r="G1074" t="s">
        <v>2799</v>
      </c>
      <c r="H1074" t="s">
        <v>28</v>
      </c>
      <c r="I1074" t="s">
        <v>4050</v>
      </c>
    </row>
    <row r="1075" spans="1:9" x14ac:dyDescent="0.25">
      <c r="A1075" t="str">
        <f>"000790596"</f>
        <v>000790596</v>
      </c>
      <c r="B1075" t="s">
        <v>4051</v>
      </c>
      <c r="D1075" t="s">
        <v>4052</v>
      </c>
      <c r="G1075" t="s">
        <v>4053</v>
      </c>
      <c r="H1075" t="s">
        <v>182</v>
      </c>
      <c r="I1075" t="s">
        <v>4054</v>
      </c>
    </row>
    <row r="1076" spans="1:9" x14ac:dyDescent="0.25">
      <c r="A1076" t="str">
        <f>"000782739"</f>
        <v>000782739</v>
      </c>
      <c r="B1076" t="s">
        <v>4055</v>
      </c>
      <c r="D1076" t="s">
        <v>4056</v>
      </c>
      <c r="G1076" t="s">
        <v>4057</v>
      </c>
      <c r="H1076" t="s">
        <v>4058</v>
      </c>
      <c r="I1076" t="s">
        <v>4059</v>
      </c>
    </row>
    <row r="1077" spans="1:9" x14ac:dyDescent="0.25">
      <c r="A1077" t="str">
        <f>"000814694"</f>
        <v>000814694</v>
      </c>
      <c r="B1077" t="s">
        <v>4060</v>
      </c>
      <c r="D1077" t="s">
        <v>4061</v>
      </c>
      <c r="G1077" t="s">
        <v>1070</v>
      </c>
      <c r="H1077" t="s">
        <v>84</v>
      </c>
      <c r="I1077" t="s">
        <v>4062</v>
      </c>
    </row>
    <row r="1078" spans="1:9" x14ac:dyDescent="0.25">
      <c r="A1078" t="str">
        <f>"000797335"</f>
        <v>000797335</v>
      </c>
      <c r="B1078" t="s">
        <v>4063</v>
      </c>
      <c r="D1078" t="s">
        <v>4064</v>
      </c>
      <c r="E1078" t="s">
        <v>4065</v>
      </c>
      <c r="G1078" t="s">
        <v>4066</v>
      </c>
      <c r="H1078" t="s">
        <v>4067</v>
      </c>
      <c r="I1078" t="s">
        <v>4068</v>
      </c>
    </row>
    <row r="1079" spans="1:9" x14ac:dyDescent="0.25">
      <c r="A1079" t="str">
        <f>"000822552"</f>
        <v>000822552</v>
      </c>
      <c r="B1079" t="s">
        <v>4069</v>
      </c>
      <c r="D1079" t="s">
        <v>4070</v>
      </c>
      <c r="E1079" t="s">
        <v>4071</v>
      </c>
      <c r="F1079" t="s">
        <v>4072</v>
      </c>
      <c r="G1079" t="s">
        <v>64</v>
      </c>
      <c r="H1079" t="s">
        <v>39</v>
      </c>
      <c r="I1079" t="s">
        <v>4073</v>
      </c>
    </row>
    <row r="1080" spans="1:9" x14ac:dyDescent="0.25">
      <c r="A1080" t="str">
        <f>"000891574"</f>
        <v>000891574</v>
      </c>
      <c r="B1080" t="s">
        <v>4074</v>
      </c>
      <c r="D1080" t="s">
        <v>4075</v>
      </c>
      <c r="G1080" t="s">
        <v>64</v>
      </c>
      <c r="H1080" t="s">
        <v>39</v>
      </c>
      <c r="I1080" t="s">
        <v>4076</v>
      </c>
    </row>
    <row r="1081" spans="1:9" x14ac:dyDescent="0.25">
      <c r="A1081" t="str">
        <f>"000896326"</f>
        <v>000896326</v>
      </c>
      <c r="B1081" t="s">
        <v>4077</v>
      </c>
      <c r="D1081" t="s">
        <v>4078</v>
      </c>
      <c r="G1081" t="s">
        <v>64</v>
      </c>
      <c r="H1081" t="s">
        <v>39</v>
      </c>
      <c r="I1081" t="s">
        <v>4079</v>
      </c>
    </row>
    <row r="1082" spans="1:9" x14ac:dyDescent="0.25">
      <c r="A1082" t="str">
        <f>"000919969"</f>
        <v>000919969</v>
      </c>
      <c r="B1082" t="s">
        <v>4080</v>
      </c>
      <c r="D1082" t="s">
        <v>4081</v>
      </c>
      <c r="G1082" t="s">
        <v>3729</v>
      </c>
      <c r="H1082" t="s">
        <v>1012</v>
      </c>
      <c r="I1082" t="s">
        <v>4082</v>
      </c>
    </row>
    <row r="1083" spans="1:9" x14ac:dyDescent="0.25">
      <c r="A1083" t="str">
        <f>"001044236"</f>
        <v>001044236</v>
      </c>
      <c r="B1083" t="s">
        <v>4083</v>
      </c>
      <c r="D1083" t="s">
        <v>4084</v>
      </c>
      <c r="G1083" t="s">
        <v>3192</v>
      </c>
      <c r="H1083" t="s">
        <v>28</v>
      </c>
      <c r="I1083" t="s">
        <v>4085</v>
      </c>
    </row>
    <row r="1084" spans="1:9" x14ac:dyDescent="0.25">
      <c r="A1084" t="str">
        <f>"001015996"</f>
        <v>001015996</v>
      </c>
      <c r="B1084" t="s">
        <v>4086</v>
      </c>
      <c r="D1084" t="s">
        <v>4087</v>
      </c>
      <c r="G1084" t="s">
        <v>4088</v>
      </c>
      <c r="I1084">
        <v>2146</v>
      </c>
    </row>
    <row r="1085" spans="1:9" x14ac:dyDescent="0.25">
      <c r="A1085" t="str">
        <f>"001033958"</f>
        <v>001033958</v>
      </c>
      <c r="B1085" t="s">
        <v>4089</v>
      </c>
      <c r="D1085" t="s">
        <v>4090</v>
      </c>
      <c r="G1085" t="s">
        <v>4091</v>
      </c>
      <c r="I1085" t="s">
        <v>4092</v>
      </c>
    </row>
    <row r="1086" spans="1:9" x14ac:dyDescent="0.25">
      <c r="A1086" t="str">
        <f>"001033964"</f>
        <v>001033964</v>
      </c>
      <c r="B1086" t="s">
        <v>4093</v>
      </c>
      <c r="D1086" t="s">
        <v>4094</v>
      </c>
      <c r="E1086" t="s">
        <v>4095</v>
      </c>
      <c r="F1086" t="s">
        <v>4096</v>
      </c>
      <c r="G1086" t="s">
        <v>1386</v>
      </c>
      <c r="H1086" t="s">
        <v>166</v>
      </c>
      <c r="I1086" t="s">
        <v>4097</v>
      </c>
    </row>
    <row r="1087" spans="1:9" x14ac:dyDescent="0.25">
      <c r="A1087" t="str">
        <f>"001043787"</f>
        <v>001043787</v>
      </c>
      <c r="B1087" t="s">
        <v>4098</v>
      </c>
      <c r="D1087" t="s">
        <v>4099</v>
      </c>
      <c r="E1087" t="s">
        <v>4100</v>
      </c>
      <c r="G1087" t="s">
        <v>4101</v>
      </c>
      <c r="H1087" t="s">
        <v>39</v>
      </c>
      <c r="I1087" t="s">
        <v>4102</v>
      </c>
    </row>
    <row r="1088" spans="1:9" x14ac:dyDescent="0.25">
      <c r="A1088" t="str">
        <f>"001044506"</f>
        <v>001044506</v>
      </c>
      <c r="B1088" t="s">
        <v>4103</v>
      </c>
      <c r="D1088" t="s">
        <v>4104</v>
      </c>
      <c r="G1088" t="s">
        <v>2196</v>
      </c>
      <c r="H1088" t="s">
        <v>13</v>
      </c>
      <c r="I1088" t="s">
        <v>4105</v>
      </c>
    </row>
    <row r="1089" spans="1:9" x14ac:dyDescent="0.25">
      <c r="A1089" t="str">
        <f>"001006378"</f>
        <v>001006378</v>
      </c>
      <c r="B1089" t="s">
        <v>4106</v>
      </c>
      <c r="D1089" t="s">
        <v>4107</v>
      </c>
      <c r="G1089" t="s">
        <v>64</v>
      </c>
      <c r="H1089" t="s">
        <v>39</v>
      </c>
      <c r="I1089" t="s">
        <v>4108</v>
      </c>
    </row>
    <row r="1090" spans="1:9" x14ac:dyDescent="0.25">
      <c r="A1090" t="str">
        <f>"001046938"</f>
        <v>001046938</v>
      </c>
      <c r="B1090" t="s">
        <v>4109</v>
      </c>
      <c r="D1090" t="s">
        <v>4110</v>
      </c>
      <c r="G1090" t="s">
        <v>696</v>
      </c>
      <c r="H1090" t="s">
        <v>28</v>
      </c>
      <c r="I1090" t="s">
        <v>4111</v>
      </c>
    </row>
    <row r="1091" spans="1:9" x14ac:dyDescent="0.25">
      <c r="A1091" t="str">
        <f>"001041399"</f>
        <v>001041399</v>
      </c>
      <c r="B1091" t="s">
        <v>4112</v>
      </c>
      <c r="D1091" t="s">
        <v>4113</v>
      </c>
      <c r="G1091" t="s">
        <v>50</v>
      </c>
      <c r="H1091" t="s">
        <v>51</v>
      </c>
      <c r="I1091" t="s">
        <v>4114</v>
      </c>
    </row>
    <row r="1092" spans="1:9" x14ac:dyDescent="0.25">
      <c r="A1092" t="str">
        <f>"001041402"</f>
        <v>001041402</v>
      </c>
      <c r="B1092" t="s">
        <v>4115</v>
      </c>
      <c r="D1092" t="s">
        <v>4116</v>
      </c>
      <c r="G1092" t="s">
        <v>949</v>
      </c>
      <c r="H1092" t="s">
        <v>34</v>
      </c>
      <c r="I1092" t="s">
        <v>4117</v>
      </c>
    </row>
    <row r="1093" spans="1:9" x14ac:dyDescent="0.25">
      <c r="A1093" t="str">
        <f>"001041916"</f>
        <v>001041916</v>
      </c>
      <c r="B1093" t="s">
        <v>4118</v>
      </c>
      <c r="D1093" t="s">
        <v>4119</v>
      </c>
      <c r="G1093" t="s">
        <v>170</v>
      </c>
      <c r="H1093" t="s">
        <v>171</v>
      </c>
      <c r="I1093" t="s">
        <v>4120</v>
      </c>
    </row>
    <row r="1094" spans="1:9" x14ac:dyDescent="0.25">
      <c r="A1094" t="str">
        <f>"001048621"</f>
        <v>001048621</v>
      </c>
      <c r="B1094" t="s">
        <v>4121</v>
      </c>
      <c r="D1094" t="s">
        <v>4122</v>
      </c>
      <c r="G1094" t="s">
        <v>4123</v>
      </c>
      <c r="H1094" t="s">
        <v>28</v>
      </c>
      <c r="I1094" t="s">
        <v>4124</v>
      </c>
    </row>
    <row r="1095" spans="1:9" x14ac:dyDescent="0.25">
      <c r="A1095" t="str">
        <f>"001015462"</f>
        <v>001015462</v>
      </c>
      <c r="B1095" t="s">
        <v>4125</v>
      </c>
      <c r="D1095" t="s">
        <v>4126</v>
      </c>
      <c r="G1095" t="s">
        <v>253</v>
      </c>
      <c r="H1095" t="s">
        <v>39</v>
      </c>
      <c r="I1095" t="s">
        <v>4127</v>
      </c>
    </row>
    <row r="1096" spans="1:9" x14ac:dyDescent="0.25">
      <c r="A1096" t="str">
        <f>"000981483"</f>
        <v>000981483</v>
      </c>
      <c r="B1096" t="s">
        <v>4128</v>
      </c>
      <c r="D1096" t="s">
        <v>4129</v>
      </c>
      <c r="G1096" t="s">
        <v>64</v>
      </c>
      <c r="H1096" t="s">
        <v>39</v>
      </c>
      <c r="I1096" t="s">
        <v>4130</v>
      </c>
    </row>
    <row r="1097" spans="1:9" x14ac:dyDescent="0.25">
      <c r="A1097" t="str">
        <f>"001001665"</f>
        <v>001001665</v>
      </c>
      <c r="B1097" t="s">
        <v>4131</v>
      </c>
      <c r="D1097" t="s">
        <v>4132</v>
      </c>
      <c r="G1097" t="s">
        <v>64</v>
      </c>
      <c r="H1097" t="s">
        <v>39</v>
      </c>
      <c r="I1097" t="s">
        <v>4133</v>
      </c>
    </row>
    <row r="1098" spans="1:9" x14ac:dyDescent="0.25">
      <c r="A1098" t="str">
        <f>"001035548"</f>
        <v>001035548</v>
      </c>
      <c r="B1098" t="s">
        <v>4134</v>
      </c>
      <c r="D1098" t="s">
        <v>4135</v>
      </c>
      <c r="G1098" t="s">
        <v>4136</v>
      </c>
      <c r="I1098">
        <v>11103</v>
      </c>
    </row>
    <row r="1099" spans="1:9" x14ac:dyDescent="0.25">
      <c r="A1099" t="str">
        <f>"001035577"</f>
        <v>001035577</v>
      </c>
      <c r="B1099" t="s">
        <v>4137</v>
      </c>
      <c r="D1099" t="s">
        <v>4138</v>
      </c>
      <c r="G1099" t="s">
        <v>64</v>
      </c>
      <c r="H1099" t="s">
        <v>39</v>
      </c>
      <c r="I1099" t="s">
        <v>4139</v>
      </c>
    </row>
    <row r="1100" spans="1:9" x14ac:dyDescent="0.25">
      <c r="A1100" t="str">
        <f>"000961915"</f>
        <v>000961915</v>
      </c>
      <c r="B1100" t="s">
        <v>4140</v>
      </c>
      <c r="D1100" t="s">
        <v>4141</v>
      </c>
      <c r="G1100" t="s">
        <v>3733</v>
      </c>
      <c r="H1100" t="s">
        <v>809</v>
      </c>
      <c r="I1100" t="s">
        <v>4142</v>
      </c>
    </row>
    <row r="1101" spans="1:9" x14ac:dyDescent="0.25">
      <c r="A1101" t="str">
        <f>"001024825"</f>
        <v>001024825</v>
      </c>
      <c r="B1101" t="s">
        <v>4143</v>
      </c>
      <c r="D1101" t="s">
        <v>4144</v>
      </c>
      <c r="G1101" t="s">
        <v>4145</v>
      </c>
      <c r="H1101" t="s">
        <v>166</v>
      </c>
      <c r="I1101" t="s">
        <v>4146</v>
      </c>
    </row>
    <row r="1102" spans="1:9" x14ac:dyDescent="0.25">
      <c r="A1102" t="str">
        <f>"001027580"</f>
        <v>001027580</v>
      </c>
      <c r="B1102" t="s">
        <v>4147</v>
      </c>
      <c r="D1102" t="s">
        <v>4148</v>
      </c>
      <c r="G1102" t="s">
        <v>4149</v>
      </c>
      <c r="H1102" t="s">
        <v>28</v>
      </c>
      <c r="I1102" t="s">
        <v>4150</v>
      </c>
    </row>
    <row r="1103" spans="1:9" x14ac:dyDescent="0.25">
      <c r="A1103" t="str">
        <f>"000987792"</f>
        <v>000987792</v>
      </c>
      <c r="B1103" t="s">
        <v>4151</v>
      </c>
      <c r="D1103" t="s">
        <v>4152</v>
      </c>
      <c r="G1103" t="s">
        <v>60</v>
      </c>
      <c r="H1103" t="s">
        <v>28</v>
      </c>
      <c r="I1103" t="s">
        <v>4153</v>
      </c>
    </row>
    <row r="1104" spans="1:9" x14ac:dyDescent="0.25">
      <c r="A1104" t="str">
        <f>"001002089"</f>
        <v>001002089</v>
      </c>
      <c r="B1104" t="s">
        <v>4154</v>
      </c>
      <c r="D1104" t="s">
        <v>4155</v>
      </c>
      <c r="G1104" t="s">
        <v>4156</v>
      </c>
      <c r="H1104" t="s">
        <v>477</v>
      </c>
      <c r="I1104" t="s">
        <v>4157</v>
      </c>
    </row>
    <row r="1105" spans="1:9" x14ac:dyDescent="0.25">
      <c r="A1105" t="str">
        <f>"001023456"</f>
        <v>001023456</v>
      </c>
      <c r="B1105" t="s">
        <v>4158</v>
      </c>
      <c r="D1105" t="s">
        <v>4159</v>
      </c>
      <c r="G1105" t="s">
        <v>4160</v>
      </c>
      <c r="H1105" t="s">
        <v>28</v>
      </c>
      <c r="I1105" t="s">
        <v>4161</v>
      </c>
    </row>
    <row r="1106" spans="1:9" x14ac:dyDescent="0.25">
      <c r="A1106" t="str">
        <f>"000992790"</f>
        <v>000992790</v>
      </c>
      <c r="B1106" t="s">
        <v>4162</v>
      </c>
      <c r="D1106" t="s">
        <v>4163</v>
      </c>
      <c r="G1106" t="s">
        <v>64</v>
      </c>
      <c r="H1106" t="s">
        <v>39</v>
      </c>
      <c r="I1106" t="s">
        <v>4164</v>
      </c>
    </row>
    <row r="1107" spans="1:9" x14ac:dyDescent="0.25">
      <c r="A1107" t="str">
        <f>"001003754"</f>
        <v>001003754</v>
      </c>
      <c r="B1107" t="s">
        <v>4165</v>
      </c>
      <c r="D1107" t="s">
        <v>4166</v>
      </c>
      <c r="G1107" t="s">
        <v>64</v>
      </c>
      <c r="H1107" t="s">
        <v>39</v>
      </c>
      <c r="I1107" t="s">
        <v>4167</v>
      </c>
    </row>
    <row r="1108" spans="1:9" x14ac:dyDescent="0.25">
      <c r="A1108" t="str">
        <f>"001034541"</f>
        <v>001034541</v>
      </c>
      <c r="B1108" t="s">
        <v>4168</v>
      </c>
      <c r="D1108" t="s">
        <v>4169</v>
      </c>
      <c r="G1108" t="s">
        <v>64</v>
      </c>
      <c r="H1108" t="s">
        <v>39</v>
      </c>
      <c r="I1108" t="s">
        <v>4170</v>
      </c>
    </row>
    <row r="1109" spans="1:9" x14ac:dyDescent="0.25">
      <c r="A1109" t="str">
        <f>"000990164"</f>
        <v>000990164</v>
      </c>
      <c r="B1109" t="s">
        <v>4171</v>
      </c>
      <c r="D1109" t="s">
        <v>4172</v>
      </c>
      <c r="G1109" t="s">
        <v>4173</v>
      </c>
      <c r="H1109" t="s">
        <v>51</v>
      </c>
      <c r="I1109" t="s">
        <v>4174</v>
      </c>
    </row>
    <row r="1110" spans="1:9" x14ac:dyDescent="0.25">
      <c r="A1110" t="str">
        <f>"000982347"</f>
        <v>000982347</v>
      </c>
      <c r="B1110" t="s">
        <v>4175</v>
      </c>
      <c r="D1110" t="s">
        <v>4176</v>
      </c>
      <c r="G1110" t="s">
        <v>60</v>
      </c>
      <c r="H1110" t="s">
        <v>28</v>
      </c>
      <c r="I1110" t="s">
        <v>4177</v>
      </c>
    </row>
    <row r="1111" spans="1:9" x14ac:dyDescent="0.25">
      <c r="A1111" t="str">
        <f>"001012068"</f>
        <v>001012068</v>
      </c>
      <c r="B1111" t="s">
        <v>4178</v>
      </c>
      <c r="D1111" t="s">
        <v>4179</v>
      </c>
      <c r="G1111" t="s">
        <v>4180</v>
      </c>
      <c r="H1111" t="s">
        <v>477</v>
      </c>
      <c r="I1111" t="s">
        <v>4181</v>
      </c>
    </row>
    <row r="1112" spans="1:9" x14ac:dyDescent="0.25">
      <c r="A1112" t="str">
        <f>"001012092"</f>
        <v>001012092</v>
      </c>
      <c r="B1112" t="s">
        <v>4182</v>
      </c>
      <c r="D1112" t="s">
        <v>4183</v>
      </c>
      <c r="E1112" t="s">
        <v>4184</v>
      </c>
      <c r="F1112" t="s">
        <v>4185</v>
      </c>
      <c r="G1112" t="s">
        <v>130</v>
      </c>
      <c r="H1112" t="s">
        <v>131</v>
      </c>
      <c r="I1112" t="s">
        <v>4186</v>
      </c>
    </row>
    <row r="1113" spans="1:9" x14ac:dyDescent="0.25">
      <c r="A1113" t="str">
        <f>"001080640"</f>
        <v>001080640</v>
      </c>
      <c r="B1113" t="s">
        <v>4187</v>
      </c>
      <c r="D1113" t="s">
        <v>4188</v>
      </c>
      <c r="E1113" t="s">
        <v>4189</v>
      </c>
      <c r="G1113" t="s">
        <v>965</v>
      </c>
      <c r="H1113" t="s">
        <v>39</v>
      </c>
      <c r="I1113" t="s">
        <v>4190</v>
      </c>
    </row>
    <row r="1114" spans="1:9" x14ac:dyDescent="0.25">
      <c r="A1114" t="str">
        <f>"001014510"</f>
        <v>001014510</v>
      </c>
      <c r="B1114" t="s">
        <v>4191</v>
      </c>
      <c r="D1114" t="s">
        <v>4192</v>
      </c>
      <c r="G1114" t="s">
        <v>64</v>
      </c>
      <c r="H1114" t="s">
        <v>39</v>
      </c>
      <c r="I1114" t="s">
        <v>4193</v>
      </c>
    </row>
    <row r="1115" spans="1:9" x14ac:dyDescent="0.25">
      <c r="A1115" t="str">
        <f>"001014516"</f>
        <v>001014516</v>
      </c>
      <c r="B1115" t="s">
        <v>4194</v>
      </c>
      <c r="D1115" t="s">
        <v>4195</v>
      </c>
      <c r="G1115" t="s">
        <v>1122</v>
      </c>
      <c r="H1115" t="s">
        <v>23</v>
      </c>
      <c r="I1115" t="s">
        <v>4196</v>
      </c>
    </row>
    <row r="1116" spans="1:9" x14ac:dyDescent="0.25">
      <c r="A1116" t="str">
        <f>"001022862"</f>
        <v>001022862</v>
      </c>
      <c r="B1116" t="s">
        <v>4197</v>
      </c>
      <c r="D1116" t="s">
        <v>4198</v>
      </c>
      <c r="E1116" t="s">
        <v>4199</v>
      </c>
      <c r="G1116" t="s">
        <v>4200</v>
      </c>
      <c r="H1116" t="s">
        <v>28</v>
      </c>
      <c r="I1116" t="s">
        <v>4201</v>
      </c>
    </row>
    <row r="1117" spans="1:9" x14ac:dyDescent="0.25">
      <c r="A1117" t="str">
        <f>"000973519"</f>
        <v>000973519</v>
      </c>
      <c r="B1117" t="s">
        <v>4202</v>
      </c>
      <c r="D1117" t="s">
        <v>4203</v>
      </c>
      <c r="E1117" t="s">
        <v>4204</v>
      </c>
      <c r="G1117" t="s">
        <v>64</v>
      </c>
      <c r="H1117" t="s">
        <v>39</v>
      </c>
      <c r="I1117" t="s">
        <v>4205</v>
      </c>
    </row>
    <row r="1118" spans="1:9" x14ac:dyDescent="0.25">
      <c r="A1118" t="str">
        <f>"001034307"</f>
        <v>001034307</v>
      </c>
      <c r="B1118" t="s">
        <v>4206</v>
      </c>
      <c r="D1118" t="s">
        <v>4207</v>
      </c>
      <c r="G1118" t="s">
        <v>64</v>
      </c>
      <c r="H1118" t="s">
        <v>39</v>
      </c>
      <c r="I1118" t="s">
        <v>4208</v>
      </c>
    </row>
    <row r="1119" spans="1:9" x14ac:dyDescent="0.25">
      <c r="A1119" t="str">
        <f>"001003329"</f>
        <v>001003329</v>
      </c>
      <c r="B1119" t="s">
        <v>4209</v>
      </c>
      <c r="D1119" t="s">
        <v>4210</v>
      </c>
      <c r="E1119" t="s">
        <v>4211</v>
      </c>
      <c r="F1119" t="s">
        <v>4212</v>
      </c>
      <c r="G1119" t="s">
        <v>83</v>
      </c>
      <c r="H1119" t="s">
        <v>84</v>
      </c>
      <c r="I1119" t="s">
        <v>4213</v>
      </c>
    </row>
    <row r="1120" spans="1:9" x14ac:dyDescent="0.25">
      <c r="A1120" t="str">
        <f>"001003331"</f>
        <v>001003331</v>
      </c>
      <c r="B1120" t="s">
        <v>4214</v>
      </c>
      <c r="D1120" t="s">
        <v>4215</v>
      </c>
      <c r="E1120" t="s">
        <v>4216</v>
      </c>
      <c r="G1120" t="s">
        <v>64</v>
      </c>
      <c r="H1120" t="s">
        <v>39</v>
      </c>
      <c r="I1120" t="s">
        <v>4217</v>
      </c>
    </row>
    <row r="1121" spans="1:9" x14ac:dyDescent="0.25">
      <c r="A1121" t="str">
        <f>"001020918"</f>
        <v>001020918</v>
      </c>
      <c r="B1121" t="s">
        <v>4218</v>
      </c>
      <c r="D1121" t="s">
        <v>4219</v>
      </c>
      <c r="G1121" t="s">
        <v>4220</v>
      </c>
      <c r="H1121" t="s">
        <v>13</v>
      </c>
      <c r="I1121" t="s">
        <v>4221</v>
      </c>
    </row>
    <row r="1122" spans="1:9" x14ac:dyDescent="0.25">
      <c r="A1122" t="str">
        <f>"001043620"</f>
        <v>001043620</v>
      </c>
      <c r="B1122" t="s">
        <v>4222</v>
      </c>
      <c r="D1122" t="s">
        <v>4223</v>
      </c>
      <c r="G1122" t="s">
        <v>688</v>
      </c>
      <c r="H1122" t="s">
        <v>39</v>
      </c>
      <c r="I1122" t="s">
        <v>4224</v>
      </c>
    </row>
    <row r="1123" spans="1:9" x14ac:dyDescent="0.25">
      <c r="A1123" t="str">
        <f>"001045979"</f>
        <v>001045979</v>
      </c>
      <c r="B1123" t="s">
        <v>4225</v>
      </c>
      <c r="D1123" t="s">
        <v>4226</v>
      </c>
      <c r="G1123" t="s">
        <v>17</v>
      </c>
      <c r="H1123" t="s">
        <v>13</v>
      </c>
      <c r="I1123" t="s">
        <v>4227</v>
      </c>
    </row>
    <row r="1124" spans="1:9" x14ac:dyDescent="0.25">
      <c r="A1124" t="str">
        <f>"001045984"</f>
        <v>001045984</v>
      </c>
      <c r="B1124" t="s">
        <v>4228</v>
      </c>
      <c r="D1124" t="s">
        <v>4229</v>
      </c>
      <c r="G1124" t="s">
        <v>69</v>
      </c>
      <c r="H1124" t="s">
        <v>70</v>
      </c>
      <c r="I1124" t="s">
        <v>4230</v>
      </c>
    </row>
    <row r="1125" spans="1:9" x14ac:dyDescent="0.25">
      <c r="A1125" t="str">
        <f>"001027079"</f>
        <v>001027079</v>
      </c>
      <c r="B1125" t="s">
        <v>4231</v>
      </c>
      <c r="D1125" t="s">
        <v>4232</v>
      </c>
      <c r="E1125" t="s">
        <v>4233</v>
      </c>
      <c r="G1125" t="s">
        <v>4234</v>
      </c>
      <c r="I1125" t="s">
        <v>4235</v>
      </c>
    </row>
    <row r="1126" spans="1:9" x14ac:dyDescent="0.25">
      <c r="A1126" t="str">
        <f>"000957668"</f>
        <v>000957668</v>
      </c>
      <c r="B1126" t="s">
        <v>4236</v>
      </c>
      <c r="D1126" t="s">
        <v>4237</v>
      </c>
      <c r="G1126" t="s">
        <v>4238</v>
      </c>
      <c r="I1126" t="s">
        <v>4239</v>
      </c>
    </row>
    <row r="1127" spans="1:9" x14ac:dyDescent="0.25">
      <c r="A1127" t="str">
        <f>"001054208"</f>
        <v>001054208</v>
      </c>
      <c r="B1127" t="s">
        <v>4240</v>
      </c>
      <c r="D1127" t="s">
        <v>4241</v>
      </c>
      <c r="G1127" t="s">
        <v>64</v>
      </c>
      <c r="H1127" t="s">
        <v>39</v>
      </c>
      <c r="I1127" t="s">
        <v>4242</v>
      </c>
    </row>
    <row r="1128" spans="1:9" x14ac:dyDescent="0.25">
      <c r="A1128" t="str">
        <f>"000999666"</f>
        <v>000999666</v>
      </c>
      <c r="B1128" t="s">
        <v>4243</v>
      </c>
      <c r="D1128" t="s">
        <v>4244</v>
      </c>
      <c r="E1128" t="s">
        <v>4245</v>
      </c>
      <c r="F1128" t="s">
        <v>4246</v>
      </c>
      <c r="G1128" t="s">
        <v>4247</v>
      </c>
      <c r="H1128" t="s">
        <v>221</v>
      </c>
      <c r="I1128" t="s">
        <v>4248</v>
      </c>
    </row>
    <row r="1129" spans="1:9" x14ac:dyDescent="0.25">
      <c r="A1129" t="str">
        <f>"000991483"</f>
        <v>000991483</v>
      </c>
      <c r="B1129" t="s">
        <v>4249</v>
      </c>
      <c r="D1129" t="s">
        <v>4250</v>
      </c>
      <c r="G1129" t="s">
        <v>4251</v>
      </c>
      <c r="I1129">
        <v>44801</v>
      </c>
    </row>
    <row r="1130" spans="1:9" x14ac:dyDescent="0.25">
      <c r="A1130" t="str">
        <f>"000973917"</f>
        <v>000973917</v>
      </c>
      <c r="B1130" t="s">
        <v>4252</v>
      </c>
      <c r="D1130" t="s">
        <v>4253</v>
      </c>
      <c r="G1130" t="s">
        <v>60</v>
      </c>
      <c r="H1130" t="s">
        <v>28</v>
      </c>
      <c r="I1130" t="s">
        <v>4254</v>
      </c>
    </row>
    <row r="1131" spans="1:9" x14ac:dyDescent="0.25">
      <c r="A1131" t="str">
        <f>"001074507"</f>
        <v>001074507</v>
      </c>
      <c r="B1131" t="s">
        <v>4255</v>
      </c>
      <c r="D1131" t="s">
        <v>4256</v>
      </c>
      <c r="G1131" t="s">
        <v>4257</v>
      </c>
      <c r="H1131" t="s">
        <v>182</v>
      </c>
      <c r="I1131" t="s">
        <v>4258</v>
      </c>
    </row>
    <row r="1132" spans="1:9" x14ac:dyDescent="0.25">
      <c r="A1132" t="str">
        <f>"001049195"</f>
        <v>001049195</v>
      </c>
      <c r="B1132" t="s">
        <v>4259</v>
      </c>
      <c r="D1132" t="s">
        <v>4260</v>
      </c>
      <c r="G1132" t="s">
        <v>64</v>
      </c>
      <c r="H1132" t="s">
        <v>39</v>
      </c>
      <c r="I1132" t="s">
        <v>4261</v>
      </c>
    </row>
    <row r="1133" spans="1:9" x14ac:dyDescent="0.25">
      <c r="A1133" t="str">
        <f>"001029250"</f>
        <v>001029250</v>
      </c>
      <c r="B1133" t="s">
        <v>4262</v>
      </c>
      <c r="D1133" t="s">
        <v>4263</v>
      </c>
      <c r="G1133" t="s">
        <v>60</v>
      </c>
      <c r="H1133" t="s">
        <v>28</v>
      </c>
      <c r="I1133" t="s">
        <v>4264</v>
      </c>
    </row>
    <row r="1134" spans="1:9" x14ac:dyDescent="0.25">
      <c r="A1134" t="str">
        <f>"001039494"</f>
        <v>001039494</v>
      </c>
      <c r="B1134" t="s">
        <v>4265</v>
      </c>
      <c r="D1134" t="s">
        <v>4266</v>
      </c>
      <c r="G1134" t="s">
        <v>4267</v>
      </c>
      <c r="H1134" t="s">
        <v>161</v>
      </c>
      <c r="I1134" t="s">
        <v>4268</v>
      </c>
    </row>
    <row r="1135" spans="1:9" x14ac:dyDescent="0.25">
      <c r="A1135" t="str">
        <f>"001052948"</f>
        <v>001052948</v>
      </c>
      <c r="B1135" t="s">
        <v>4269</v>
      </c>
      <c r="D1135" t="s">
        <v>4270</v>
      </c>
      <c r="G1135" t="s">
        <v>64</v>
      </c>
      <c r="H1135" t="s">
        <v>39</v>
      </c>
      <c r="I1135" t="s">
        <v>4271</v>
      </c>
    </row>
    <row r="1136" spans="1:9" x14ac:dyDescent="0.25">
      <c r="A1136" t="str">
        <f>"001062701"</f>
        <v>001062701</v>
      </c>
      <c r="B1136" t="s">
        <v>4272</v>
      </c>
      <c r="D1136" t="s">
        <v>4273</v>
      </c>
      <c r="E1136" t="s">
        <v>4274</v>
      </c>
      <c r="F1136" t="s">
        <v>4275</v>
      </c>
      <c r="G1136" t="s">
        <v>1113</v>
      </c>
      <c r="H1136" t="s">
        <v>34</v>
      </c>
      <c r="I1136" t="s">
        <v>4276</v>
      </c>
    </row>
    <row r="1137" spans="1:9" x14ac:dyDescent="0.25">
      <c r="A1137" t="str">
        <f>"001019876"</f>
        <v>001019876</v>
      </c>
      <c r="B1137" t="s">
        <v>4277</v>
      </c>
      <c r="D1137" t="s">
        <v>4278</v>
      </c>
      <c r="E1137" t="s">
        <v>4279</v>
      </c>
      <c r="G1137" t="s">
        <v>4280</v>
      </c>
      <c r="H1137" t="s">
        <v>188</v>
      </c>
      <c r="I1137" t="s">
        <v>4281</v>
      </c>
    </row>
    <row r="1138" spans="1:9" x14ac:dyDescent="0.25">
      <c r="A1138" t="str">
        <f>"001020517"</f>
        <v>001020517</v>
      </c>
      <c r="B1138" t="s">
        <v>4282</v>
      </c>
      <c r="D1138" t="s">
        <v>4283</v>
      </c>
      <c r="G1138" t="s">
        <v>3124</v>
      </c>
      <c r="H1138" t="s">
        <v>131</v>
      </c>
      <c r="I1138" t="s">
        <v>4284</v>
      </c>
    </row>
    <row r="1139" spans="1:9" x14ac:dyDescent="0.25">
      <c r="A1139" t="str">
        <f>"000958034"</f>
        <v>000958034</v>
      </c>
      <c r="B1139" t="s">
        <v>4285</v>
      </c>
      <c r="D1139" t="s">
        <v>4286</v>
      </c>
      <c r="E1139" t="s">
        <v>4287</v>
      </c>
      <c r="G1139" t="s">
        <v>4288</v>
      </c>
      <c r="H1139" t="s">
        <v>546</v>
      </c>
      <c r="I1139" t="s">
        <v>4289</v>
      </c>
    </row>
    <row r="1140" spans="1:9" x14ac:dyDescent="0.25">
      <c r="A1140" t="str">
        <f>"000980568"</f>
        <v>000980568</v>
      </c>
      <c r="B1140" t="s">
        <v>4290</v>
      </c>
      <c r="D1140" t="s">
        <v>1164</v>
      </c>
      <c r="G1140" t="s">
        <v>176</v>
      </c>
      <c r="H1140" t="s">
        <v>75</v>
      </c>
      <c r="I1140" t="s">
        <v>4291</v>
      </c>
    </row>
    <row r="1141" spans="1:9" x14ac:dyDescent="0.25">
      <c r="A1141" t="str">
        <f>"001059599"</f>
        <v>001059599</v>
      </c>
      <c r="B1141" t="s">
        <v>4292</v>
      </c>
      <c r="D1141" t="s">
        <v>4293</v>
      </c>
      <c r="E1141" t="s">
        <v>4294</v>
      </c>
      <c r="G1141" t="s">
        <v>4295</v>
      </c>
      <c r="H1141" t="s">
        <v>1012</v>
      </c>
      <c r="I1141" t="s">
        <v>4296</v>
      </c>
    </row>
    <row r="1142" spans="1:9" x14ac:dyDescent="0.25">
      <c r="A1142" t="str">
        <f>"001002788"</f>
        <v>001002788</v>
      </c>
      <c r="B1142" t="s">
        <v>4297</v>
      </c>
      <c r="D1142" t="s">
        <v>4298</v>
      </c>
      <c r="E1142" t="s">
        <v>4299</v>
      </c>
      <c r="G1142" t="s">
        <v>4300</v>
      </c>
      <c r="I1142" t="s">
        <v>4301</v>
      </c>
    </row>
    <row r="1143" spans="1:9" x14ac:dyDescent="0.25">
      <c r="A1143" t="str">
        <f>"001045532"</f>
        <v>001045532</v>
      </c>
      <c r="B1143" t="s">
        <v>4302</v>
      </c>
      <c r="D1143" t="s">
        <v>4303</v>
      </c>
      <c r="G1143" t="s">
        <v>740</v>
      </c>
      <c r="H1143" t="s">
        <v>84</v>
      </c>
      <c r="I1143" t="s">
        <v>4304</v>
      </c>
    </row>
    <row r="1144" spans="1:9" x14ac:dyDescent="0.25">
      <c r="A1144" t="str">
        <f>"001012696"</f>
        <v>001012696</v>
      </c>
      <c r="B1144" t="s">
        <v>4305</v>
      </c>
      <c r="D1144" t="s">
        <v>4306</v>
      </c>
      <c r="G1144" t="s">
        <v>3111</v>
      </c>
      <c r="H1144" t="s">
        <v>365</v>
      </c>
      <c r="I1144" t="s">
        <v>4307</v>
      </c>
    </row>
    <row r="1145" spans="1:9" x14ac:dyDescent="0.25">
      <c r="A1145" t="str">
        <f>"000982757"</f>
        <v>000982757</v>
      </c>
      <c r="B1145" t="s">
        <v>4308</v>
      </c>
      <c r="D1145" t="s">
        <v>4309</v>
      </c>
      <c r="E1145" t="s">
        <v>4310</v>
      </c>
      <c r="G1145" t="s">
        <v>591</v>
      </c>
      <c r="H1145" t="s">
        <v>39</v>
      </c>
      <c r="I1145" t="s">
        <v>4311</v>
      </c>
    </row>
    <row r="1146" spans="1:9" x14ac:dyDescent="0.25">
      <c r="A1146" t="str">
        <f>"001046921"</f>
        <v>001046921</v>
      </c>
      <c r="B1146" t="s">
        <v>4312</v>
      </c>
      <c r="D1146" t="s">
        <v>4313</v>
      </c>
      <c r="G1146" t="s">
        <v>1070</v>
      </c>
      <c r="H1146" t="s">
        <v>84</v>
      </c>
      <c r="I1146" t="s">
        <v>4314</v>
      </c>
    </row>
    <row r="1147" spans="1:9" x14ac:dyDescent="0.25">
      <c r="A1147" t="str">
        <f>"001060112"</f>
        <v>001060112</v>
      </c>
      <c r="B1147" t="s">
        <v>4315</v>
      </c>
      <c r="D1147" t="s">
        <v>4316</v>
      </c>
      <c r="G1147" t="s">
        <v>267</v>
      </c>
      <c r="H1147" t="s">
        <v>39</v>
      </c>
      <c r="I1147" t="s">
        <v>4317</v>
      </c>
    </row>
    <row r="1148" spans="1:9" x14ac:dyDescent="0.25">
      <c r="A1148" t="str">
        <f>"001070341"</f>
        <v>001070341</v>
      </c>
      <c r="B1148" t="s">
        <v>4318</v>
      </c>
      <c r="D1148" t="s">
        <v>4319</v>
      </c>
      <c r="G1148" t="s">
        <v>64</v>
      </c>
      <c r="H1148" t="s">
        <v>39</v>
      </c>
      <c r="I1148" t="s">
        <v>4320</v>
      </c>
    </row>
    <row r="1149" spans="1:9" x14ac:dyDescent="0.25">
      <c r="A1149" t="str">
        <f>"001055305"</f>
        <v>001055305</v>
      </c>
      <c r="B1149" t="s">
        <v>4321</v>
      </c>
      <c r="D1149" t="s">
        <v>4322</v>
      </c>
      <c r="G1149" t="s">
        <v>4323</v>
      </c>
      <c r="H1149" t="s">
        <v>221</v>
      </c>
      <c r="I1149" t="s">
        <v>4324</v>
      </c>
    </row>
    <row r="1150" spans="1:9" x14ac:dyDescent="0.25">
      <c r="A1150" t="str">
        <f>"001077801"</f>
        <v>001077801</v>
      </c>
      <c r="B1150" t="s">
        <v>4325</v>
      </c>
      <c r="D1150" t="s">
        <v>4326</v>
      </c>
      <c r="G1150" t="s">
        <v>4327</v>
      </c>
      <c r="H1150" t="s">
        <v>166</v>
      </c>
      <c r="I1150" t="s">
        <v>4328</v>
      </c>
    </row>
    <row r="1151" spans="1:9" x14ac:dyDescent="0.25">
      <c r="A1151" t="str">
        <f>"001066240"</f>
        <v>001066240</v>
      </c>
      <c r="B1151" t="s">
        <v>4329</v>
      </c>
      <c r="D1151" t="s">
        <v>4330</v>
      </c>
      <c r="G1151" t="s">
        <v>64</v>
      </c>
      <c r="H1151" t="s">
        <v>39</v>
      </c>
      <c r="I1151" t="s">
        <v>4331</v>
      </c>
    </row>
    <row r="1152" spans="1:9" x14ac:dyDescent="0.25">
      <c r="A1152" t="str">
        <f>"001079532"</f>
        <v>001079532</v>
      </c>
      <c r="B1152" t="s">
        <v>4332</v>
      </c>
      <c r="D1152" t="s">
        <v>4333</v>
      </c>
      <c r="G1152" t="s">
        <v>4334</v>
      </c>
      <c r="I1152" t="s">
        <v>4335</v>
      </c>
    </row>
    <row r="1153" spans="1:9" x14ac:dyDescent="0.25">
      <c r="A1153" t="str">
        <f>"000629601"</f>
        <v>000629601</v>
      </c>
      <c r="B1153" t="s">
        <v>4336</v>
      </c>
      <c r="D1153" t="s">
        <v>4337</v>
      </c>
      <c r="G1153" t="s">
        <v>151</v>
      </c>
      <c r="H1153" t="s">
        <v>468</v>
      </c>
      <c r="I1153" t="s">
        <v>4338</v>
      </c>
    </row>
    <row r="1154" spans="1:9" x14ac:dyDescent="0.25">
      <c r="A1154" t="str">
        <f>"000800124"</f>
        <v>000800124</v>
      </c>
      <c r="B1154" t="s">
        <v>4339</v>
      </c>
      <c r="D1154" t="s">
        <v>4340</v>
      </c>
      <c r="E1154" t="s">
        <v>4341</v>
      </c>
      <c r="G1154" t="s">
        <v>60</v>
      </c>
      <c r="H1154" t="s">
        <v>28</v>
      </c>
      <c r="I1154" t="s">
        <v>4342</v>
      </c>
    </row>
    <row r="1155" spans="1:9" x14ac:dyDescent="0.25">
      <c r="A1155" t="str">
        <f>"000802522"</f>
        <v>000802522</v>
      </c>
      <c r="B1155" t="s">
        <v>4343</v>
      </c>
      <c r="D1155" t="s">
        <v>4344</v>
      </c>
      <c r="E1155" t="s">
        <v>4345</v>
      </c>
      <c r="G1155" t="s">
        <v>4346</v>
      </c>
      <c r="H1155" t="s">
        <v>879</v>
      </c>
      <c r="I1155" t="s">
        <v>4347</v>
      </c>
    </row>
    <row r="1156" spans="1:9" x14ac:dyDescent="0.25">
      <c r="A1156" t="str">
        <f>"000800897"</f>
        <v>000800897</v>
      </c>
      <c r="B1156" t="s">
        <v>4348</v>
      </c>
      <c r="D1156" t="s">
        <v>4349</v>
      </c>
      <c r="G1156" t="s">
        <v>3729</v>
      </c>
      <c r="H1156" t="s">
        <v>1012</v>
      </c>
      <c r="I1156" t="s">
        <v>4350</v>
      </c>
    </row>
    <row r="1157" spans="1:9" x14ac:dyDescent="0.25">
      <c r="A1157" t="str">
        <f>"000802203"</f>
        <v>000802203</v>
      </c>
      <c r="B1157" t="s">
        <v>4351</v>
      </c>
      <c r="D1157" t="s">
        <v>4352</v>
      </c>
      <c r="E1157" t="s">
        <v>4353</v>
      </c>
      <c r="F1157" t="s">
        <v>4354</v>
      </c>
      <c r="G1157" t="s">
        <v>1768</v>
      </c>
      <c r="H1157" t="s">
        <v>827</v>
      </c>
      <c r="I1157" t="s">
        <v>4355</v>
      </c>
    </row>
    <row r="1158" spans="1:9" x14ac:dyDescent="0.25">
      <c r="A1158" t="str">
        <f>"000808601"</f>
        <v>000808601</v>
      </c>
      <c r="B1158" t="s">
        <v>4356</v>
      </c>
      <c r="D1158" t="s">
        <v>4357</v>
      </c>
      <c r="G1158" t="s">
        <v>4358</v>
      </c>
      <c r="H1158" t="s">
        <v>28</v>
      </c>
      <c r="I1158" t="s">
        <v>4359</v>
      </c>
    </row>
    <row r="1159" spans="1:9" x14ac:dyDescent="0.25">
      <c r="A1159" t="str">
        <f>"000800853"</f>
        <v>000800853</v>
      </c>
      <c r="B1159" t="s">
        <v>4360</v>
      </c>
      <c r="D1159" t="s">
        <v>4361</v>
      </c>
      <c r="G1159" t="s">
        <v>878</v>
      </c>
      <c r="H1159" t="s">
        <v>879</v>
      </c>
      <c r="I1159" t="s">
        <v>4362</v>
      </c>
    </row>
    <row r="1160" spans="1:9" x14ac:dyDescent="0.25">
      <c r="A1160" t="str">
        <f>"000800546"</f>
        <v>000800546</v>
      </c>
      <c r="B1160" t="s">
        <v>4363</v>
      </c>
      <c r="D1160" t="s">
        <v>4364</v>
      </c>
      <c r="G1160" t="s">
        <v>4365</v>
      </c>
      <c r="H1160" t="s">
        <v>23</v>
      </c>
      <c r="I1160" t="s">
        <v>4366</v>
      </c>
    </row>
    <row r="1161" spans="1:9" x14ac:dyDescent="0.25">
      <c r="A1161" t="str">
        <f>"000802835"</f>
        <v>000802835</v>
      </c>
      <c r="B1161" t="s">
        <v>4367</v>
      </c>
      <c r="D1161" t="s">
        <v>4368</v>
      </c>
      <c r="G1161" t="s">
        <v>1045</v>
      </c>
      <c r="H1161" t="s">
        <v>161</v>
      </c>
      <c r="I1161" t="s">
        <v>4369</v>
      </c>
    </row>
    <row r="1162" spans="1:9" x14ac:dyDescent="0.25">
      <c r="A1162" t="str">
        <f>"000628928"</f>
        <v>000628928</v>
      </c>
      <c r="B1162" t="s">
        <v>4370</v>
      </c>
      <c r="D1162" t="s">
        <v>4371</v>
      </c>
      <c r="G1162" t="s">
        <v>64</v>
      </c>
      <c r="H1162" t="s">
        <v>39</v>
      </c>
      <c r="I1162" t="s">
        <v>4372</v>
      </c>
    </row>
    <row r="1163" spans="1:9" x14ac:dyDescent="0.25">
      <c r="A1163" t="str">
        <f>"000801095"</f>
        <v>000801095</v>
      </c>
      <c r="B1163" t="s">
        <v>4373</v>
      </c>
      <c r="D1163" t="s">
        <v>606</v>
      </c>
      <c r="E1163" t="s">
        <v>4374</v>
      </c>
      <c r="G1163" t="s">
        <v>1805</v>
      </c>
      <c r="H1163" t="s">
        <v>513</v>
      </c>
      <c r="I1163" t="s">
        <v>4375</v>
      </c>
    </row>
    <row r="1164" spans="1:9" x14ac:dyDescent="0.25">
      <c r="A1164" t="str">
        <f>"000801248"</f>
        <v>000801248</v>
      </c>
      <c r="B1164" t="s">
        <v>4376</v>
      </c>
      <c r="D1164" t="s">
        <v>4377</v>
      </c>
      <c r="E1164" t="s">
        <v>143</v>
      </c>
      <c r="G1164" t="s">
        <v>64</v>
      </c>
      <c r="H1164" t="s">
        <v>39</v>
      </c>
      <c r="I1164" t="s">
        <v>4378</v>
      </c>
    </row>
    <row r="1165" spans="1:9" x14ac:dyDescent="0.25">
      <c r="A1165" t="str">
        <f>"000629650"</f>
        <v>000629650</v>
      </c>
      <c r="B1165" t="s">
        <v>4379</v>
      </c>
      <c r="D1165" t="s">
        <v>4380</v>
      </c>
      <c r="E1165" t="s">
        <v>4381</v>
      </c>
      <c r="G1165" t="s">
        <v>4382</v>
      </c>
      <c r="H1165" t="s">
        <v>39</v>
      </c>
      <c r="I1165" t="s">
        <v>4383</v>
      </c>
    </row>
    <row r="1166" spans="1:9" x14ac:dyDescent="0.25">
      <c r="A1166" t="str">
        <f>"000806192"</f>
        <v>000806192</v>
      </c>
      <c r="B1166" t="s">
        <v>4384</v>
      </c>
      <c r="D1166" t="s">
        <v>4385</v>
      </c>
      <c r="E1166" t="s">
        <v>4386</v>
      </c>
      <c r="F1166" t="s">
        <v>4387</v>
      </c>
      <c r="G1166" t="s">
        <v>4388</v>
      </c>
      <c r="H1166" t="s">
        <v>4389</v>
      </c>
      <c r="I1166" t="s">
        <v>4390</v>
      </c>
    </row>
    <row r="1167" spans="1:9" x14ac:dyDescent="0.25">
      <c r="A1167" t="str">
        <f>"000800478"</f>
        <v>000800478</v>
      </c>
      <c r="B1167" t="s">
        <v>4391</v>
      </c>
      <c r="D1167" t="s">
        <v>480</v>
      </c>
      <c r="G1167" t="s">
        <v>481</v>
      </c>
      <c r="H1167" t="s">
        <v>75</v>
      </c>
      <c r="I1167" t="s">
        <v>4392</v>
      </c>
    </row>
    <row r="1168" spans="1:9" x14ac:dyDescent="0.25">
      <c r="A1168" t="str">
        <f>"000800209"</f>
        <v>000800209</v>
      </c>
      <c r="B1168" t="s">
        <v>4393</v>
      </c>
      <c r="D1168" t="s">
        <v>4394</v>
      </c>
      <c r="E1168" t="s">
        <v>4395</v>
      </c>
      <c r="G1168" t="s">
        <v>4396</v>
      </c>
      <c r="H1168" t="s">
        <v>34</v>
      </c>
      <c r="I1168" t="s">
        <v>4397</v>
      </c>
    </row>
    <row r="1169" spans="1:9" x14ac:dyDescent="0.25">
      <c r="A1169" t="str">
        <f>"000160072"</f>
        <v>000160072</v>
      </c>
      <c r="B1169" t="s">
        <v>4398</v>
      </c>
      <c r="D1169" t="s">
        <v>4399</v>
      </c>
      <c r="G1169" t="s">
        <v>4400</v>
      </c>
      <c r="H1169" t="s">
        <v>263</v>
      </c>
      <c r="I1169" t="s">
        <v>4401</v>
      </c>
    </row>
    <row r="1170" spans="1:9" x14ac:dyDescent="0.25">
      <c r="A1170" t="str">
        <f>"000847399"</f>
        <v>000847399</v>
      </c>
      <c r="B1170" t="s">
        <v>4402</v>
      </c>
      <c r="D1170" t="s">
        <v>4403</v>
      </c>
      <c r="E1170" t="s">
        <v>4404</v>
      </c>
      <c r="G1170" t="s">
        <v>4405</v>
      </c>
      <c r="H1170" t="s">
        <v>131</v>
      </c>
      <c r="I1170" t="s">
        <v>4406</v>
      </c>
    </row>
    <row r="1171" spans="1:9" x14ac:dyDescent="0.25">
      <c r="A1171" t="str">
        <f>"000571828"</f>
        <v>000571828</v>
      </c>
      <c r="B1171" t="s">
        <v>4407</v>
      </c>
      <c r="D1171" t="s">
        <v>4408</v>
      </c>
      <c r="E1171" t="s">
        <v>4409</v>
      </c>
      <c r="G1171" t="s">
        <v>214</v>
      </c>
      <c r="H1171" t="s">
        <v>120</v>
      </c>
      <c r="I1171" t="s">
        <v>4410</v>
      </c>
    </row>
    <row r="1172" spans="1:9" x14ac:dyDescent="0.25">
      <c r="A1172" t="str">
        <f>"000566024"</f>
        <v>000566024</v>
      </c>
      <c r="B1172" t="s">
        <v>4411</v>
      </c>
      <c r="D1172" t="s">
        <v>4412</v>
      </c>
      <c r="E1172" t="s">
        <v>4413</v>
      </c>
      <c r="G1172" t="s">
        <v>64</v>
      </c>
      <c r="H1172" t="s">
        <v>39</v>
      </c>
      <c r="I1172" t="s">
        <v>4414</v>
      </c>
    </row>
    <row r="1173" spans="1:9" x14ac:dyDescent="0.25">
      <c r="A1173" t="str">
        <f>"000585586"</f>
        <v>000585586</v>
      </c>
      <c r="B1173" t="s">
        <v>4415</v>
      </c>
      <c r="D1173" t="s">
        <v>4416</v>
      </c>
      <c r="E1173" t="s">
        <v>4417</v>
      </c>
      <c r="G1173" t="s">
        <v>64</v>
      </c>
      <c r="H1173" t="s">
        <v>39</v>
      </c>
      <c r="I1173" t="s">
        <v>4418</v>
      </c>
    </row>
    <row r="1174" spans="1:9" x14ac:dyDescent="0.25">
      <c r="A1174" t="str">
        <f>"000587121"</f>
        <v>000587121</v>
      </c>
      <c r="B1174" t="s">
        <v>4419</v>
      </c>
      <c r="D1174" t="s">
        <v>4420</v>
      </c>
      <c r="G1174" t="s">
        <v>4421</v>
      </c>
      <c r="H1174" t="s">
        <v>540</v>
      </c>
      <c r="I1174" t="s">
        <v>4422</v>
      </c>
    </row>
    <row r="1175" spans="1:9" x14ac:dyDescent="0.25">
      <c r="A1175" t="str">
        <f>"000588731"</f>
        <v>000588731</v>
      </c>
      <c r="B1175" t="s">
        <v>4423</v>
      </c>
      <c r="D1175" t="s">
        <v>4424</v>
      </c>
      <c r="E1175" t="s">
        <v>4425</v>
      </c>
      <c r="G1175" t="s">
        <v>1785</v>
      </c>
      <c r="H1175" t="s">
        <v>28</v>
      </c>
      <c r="I1175" t="s">
        <v>4426</v>
      </c>
    </row>
    <row r="1176" spans="1:9" x14ac:dyDescent="0.25">
      <c r="A1176" t="str">
        <f>"000597155"</f>
        <v>000597155</v>
      </c>
      <c r="B1176" t="s">
        <v>4427</v>
      </c>
      <c r="D1176" t="s">
        <v>4428</v>
      </c>
      <c r="E1176" t="s">
        <v>4429</v>
      </c>
      <c r="G1176" t="s">
        <v>291</v>
      </c>
      <c r="H1176" t="s">
        <v>182</v>
      </c>
      <c r="I1176" t="s">
        <v>4430</v>
      </c>
    </row>
    <row r="1177" spans="1:9" x14ac:dyDescent="0.25">
      <c r="A1177" t="str">
        <f>"000602233"</f>
        <v>000602233</v>
      </c>
      <c r="B1177" t="s">
        <v>4431</v>
      </c>
      <c r="D1177" t="s">
        <v>4432</v>
      </c>
      <c r="E1177" t="s">
        <v>4433</v>
      </c>
      <c r="G1177" t="s">
        <v>984</v>
      </c>
      <c r="H1177" t="s">
        <v>263</v>
      </c>
      <c r="I1177" t="s">
        <v>4434</v>
      </c>
    </row>
    <row r="1178" spans="1:9" x14ac:dyDescent="0.25">
      <c r="A1178" t="str">
        <f>"000557782"</f>
        <v>000557782</v>
      </c>
      <c r="B1178" t="s">
        <v>4435</v>
      </c>
      <c r="D1178" t="s">
        <v>4436</v>
      </c>
      <c r="E1178" t="s">
        <v>4437</v>
      </c>
      <c r="G1178" t="s">
        <v>64</v>
      </c>
      <c r="H1178" t="s">
        <v>39</v>
      </c>
      <c r="I1178" t="s">
        <v>4438</v>
      </c>
    </row>
    <row r="1179" spans="1:9" x14ac:dyDescent="0.25">
      <c r="A1179" t="str">
        <f>"000598844"</f>
        <v>000598844</v>
      </c>
      <c r="B1179" t="s">
        <v>4439</v>
      </c>
      <c r="D1179" t="s">
        <v>4440</v>
      </c>
      <c r="E1179" t="s">
        <v>4441</v>
      </c>
      <c r="G1179" t="s">
        <v>170</v>
      </c>
      <c r="H1179" t="s">
        <v>39</v>
      </c>
      <c r="I1179" t="s">
        <v>4442</v>
      </c>
    </row>
    <row r="1180" spans="1:9" x14ac:dyDescent="0.25">
      <c r="A1180" t="str">
        <f>"000601985"</f>
        <v>000601985</v>
      </c>
      <c r="B1180" t="s">
        <v>4443</v>
      </c>
      <c r="D1180" t="s">
        <v>4444</v>
      </c>
      <c r="E1180" t="s">
        <v>4445</v>
      </c>
      <c r="G1180" t="s">
        <v>83</v>
      </c>
      <c r="H1180" t="s">
        <v>84</v>
      </c>
      <c r="I1180" t="s">
        <v>4446</v>
      </c>
    </row>
    <row r="1181" spans="1:9" x14ac:dyDescent="0.25">
      <c r="A1181" t="str">
        <f>"000560625"</f>
        <v>000560625</v>
      </c>
      <c r="B1181" t="s">
        <v>4447</v>
      </c>
      <c r="D1181" t="s">
        <v>435</v>
      </c>
      <c r="E1181" t="s">
        <v>4448</v>
      </c>
      <c r="G1181" t="s">
        <v>214</v>
      </c>
      <c r="H1181" t="s">
        <v>120</v>
      </c>
      <c r="I1181" t="s">
        <v>4449</v>
      </c>
    </row>
    <row r="1182" spans="1:9" x14ac:dyDescent="0.25">
      <c r="A1182" t="str">
        <f>"000609398"</f>
        <v>000609398</v>
      </c>
      <c r="B1182" t="s">
        <v>4450</v>
      </c>
      <c r="D1182" t="s">
        <v>4451</v>
      </c>
      <c r="G1182" t="s">
        <v>4452</v>
      </c>
      <c r="H1182" t="s">
        <v>166</v>
      </c>
      <c r="I1182">
        <v>2481</v>
      </c>
    </row>
    <row r="1183" spans="1:9" x14ac:dyDescent="0.25">
      <c r="A1183" t="str">
        <f>"000602145"</f>
        <v>000602145</v>
      </c>
      <c r="B1183" t="s">
        <v>4453</v>
      </c>
      <c r="D1183" t="s">
        <v>4454</v>
      </c>
      <c r="G1183" t="s">
        <v>2564</v>
      </c>
      <c r="H1183" t="s">
        <v>75</v>
      </c>
      <c r="I1183" t="s">
        <v>4455</v>
      </c>
    </row>
    <row r="1184" spans="1:9" x14ac:dyDescent="0.25">
      <c r="A1184" t="str">
        <f>"000549322"</f>
        <v>000549322</v>
      </c>
      <c r="B1184" t="s">
        <v>4456</v>
      </c>
      <c r="D1184" t="s">
        <v>4457</v>
      </c>
      <c r="G1184" t="s">
        <v>214</v>
      </c>
      <c r="H1184" t="s">
        <v>120</v>
      </c>
      <c r="I1184" t="s">
        <v>4458</v>
      </c>
    </row>
    <row r="1185" spans="1:9" x14ac:dyDescent="0.25">
      <c r="A1185" t="str">
        <f>"000010669"</f>
        <v>000010669</v>
      </c>
      <c r="B1185" t="s">
        <v>4459</v>
      </c>
      <c r="D1185" t="s">
        <v>4460</v>
      </c>
      <c r="E1185" t="s">
        <v>4461</v>
      </c>
      <c r="G1185" t="s">
        <v>83</v>
      </c>
      <c r="H1185" t="s">
        <v>84</v>
      </c>
      <c r="I1185" t="s">
        <v>4462</v>
      </c>
    </row>
    <row r="1186" spans="1:9" x14ac:dyDescent="0.25">
      <c r="A1186" t="str">
        <f>"000010057"</f>
        <v>000010057</v>
      </c>
      <c r="B1186" t="s">
        <v>4463</v>
      </c>
      <c r="D1186" t="s">
        <v>4464</v>
      </c>
      <c r="G1186" t="s">
        <v>4465</v>
      </c>
      <c r="H1186" t="s">
        <v>188</v>
      </c>
      <c r="I1186">
        <v>52242</v>
      </c>
    </row>
    <row r="1187" spans="1:9" x14ac:dyDescent="0.25">
      <c r="A1187" t="str">
        <f>"000010073"</f>
        <v>000010073</v>
      </c>
      <c r="B1187" t="s">
        <v>4466</v>
      </c>
      <c r="D1187" t="s">
        <v>4467</v>
      </c>
      <c r="E1187" t="s">
        <v>4468</v>
      </c>
      <c r="G1187" t="s">
        <v>64</v>
      </c>
      <c r="H1187" t="s">
        <v>39</v>
      </c>
      <c r="I1187" t="s">
        <v>4469</v>
      </c>
    </row>
    <row r="1188" spans="1:9" x14ac:dyDescent="0.25">
      <c r="A1188" t="str">
        <f>"000010097"</f>
        <v>000010097</v>
      </c>
      <c r="B1188" t="s">
        <v>4470</v>
      </c>
      <c r="D1188" t="s">
        <v>4471</v>
      </c>
      <c r="G1188" t="s">
        <v>4472</v>
      </c>
      <c r="H1188" t="s">
        <v>1012</v>
      </c>
      <c r="I1188" t="s">
        <v>4473</v>
      </c>
    </row>
    <row r="1189" spans="1:9" x14ac:dyDescent="0.25">
      <c r="A1189" t="str">
        <f>"000010091"</f>
        <v>000010091</v>
      </c>
      <c r="B1189" t="s">
        <v>4474</v>
      </c>
      <c r="D1189" t="s">
        <v>4475</v>
      </c>
      <c r="E1189" t="s">
        <v>4476</v>
      </c>
      <c r="G1189" t="s">
        <v>83</v>
      </c>
      <c r="H1189" t="s">
        <v>84</v>
      </c>
      <c r="I1189" t="s">
        <v>4477</v>
      </c>
    </row>
    <row r="1190" spans="1:9" x14ac:dyDescent="0.25">
      <c r="A1190" t="str">
        <f>"000010398"</f>
        <v>000010398</v>
      </c>
      <c r="B1190" t="s">
        <v>4478</v>
      </c>
      <c r="D1190" t="s">
        <v>4479</v>
      </c>
      <c r="G1190" t="s">
        <v>64</v>
      </c>
      <c r="H1190" t="s">
        <v>39</v>
      </c>
      <c r="I1190" t="s">
        <v>4480</v>
      </c>
    </row>
    <row r="1191" spans="1:9" x14ac:dyDescent="0.25">
      <c r="A1191" t="str">
        <f>"000010520"</f>
        <v>000010520</v>
      </c>
      <c r="B1191" t="s">
        <v>4481</v>
      </c>
      <c r="D1191" t="s">
        <v>4482</v>
      </c>
      <c r="E1191" t="s">
        <v>4483</v>
      </c>
      <c r="G1191" t="s">
        <v>64</v>
      </c>
      <c r="H1191" t="s">
        <v>39</v>
      </c>
      <c r="I1191" t="s">
        <v>4484</v>
      </c>
    </row>
    <row r="1192" spans="1:9" x14ac:dyDescent="0.25">
      <c r="A1192" t="str">
        <f>"000012006"</f>
        <v>000012006</v>
      </c>
      <c r="B1192" t="s">
        <v>4485</v>
      </c>
      <c r="D1192" t="s">
        <v>4486</v>
      </c>
      <c r="E1192" t="s">
        <v>4487</v>
      </c>
      <c r="G1192" t="s">
        <v>64</v>
      </c>
      <c r="H1192" t="s">
        <v>39</v>
      </c>
      <c r="I1192">
        <v>63105</v>
      </c>
    </row>
    <row r="1193" spans="1:9" x14ac:dyDescent="0.25">
      <c r="A1193" t="str">
        <f>"000011999"</f>
        <v>000011999</v>
      </c>
      <c r="B1193" t="s">
        <v>4488</v>
      </c>
      <c r="D1193" t="s">
        <v>4489</v>
      </c>
      <c r="G1193" t="s">
        <v>1983</v>
      </c>
      <c r="H1193" t="s">
        <v>166</v>
      </c>
      <c r="I1193" t="s">
        <v>4490</v>
      </c>
    </row>
    <row r="1194" spans="1:9" x14ac:dyDescent="0.25">
      <c r="A1194" t="str">
        <f>"000010443"</f>
        <v>000010443</v>
      </c>
      <c r="B1194" t="s">
        <v>4491</v>
      </c>
      <c r="D1194" t="s">
        <v>4492</v>
      </c>
      <c r="E1194" t="s">
        <v>4493</v>
      </c>
      <c r="G1194" t="s">
        <v>60</v>
      </c>
      <c r="H1194" t="s">
        <v>28</v>
      </c>
      <c r="I1194" t="s">
        <v>4494</v>
      </c>
    </row>
    <row r="1195" spans="1:9" x14ac:dyDescent="0.25">
      <c r="A1195" t="str">
        <f>"000010594"</f>
        <v>000010594</v>
      </c>
      <c r="B1195" t="s">
        <v>4495</v>
      </c>
      <c r="D1195" t="s">
        <v>4496</v>
      </c>
      <c r="G1195" t="s">
        <v>64</v>
      </c>
      <c r="H1195" t="s">
        <v>39</v>
      </c>
      <c r="I1195" t="s">
        <v>4497</v>
      </c>
    </row>
    <row r="1196" spans="1:9" x14ac:dyDescent="0.25">
      <c r="A1196" t="str">
        <f>"000010569"</f>
        <v>000010569</v>
      </c>
      <c r="B1196" t="s">
        <v>4498</v>
      </c>
      <c r="D1196" t="s">
        <v>4499</v>
      </c>
      <c r="E1196" t="s">
        <v>4500</v>
      </c>
      <c r="G1196" t="s">
        <v>3106</v>
      </c>
      <c r="H1196" t="s">
        <v>39</v>
      </c>
      <c r="I1196" t="s">
        <v>4501</v>
      </c>
    </row>
    <row r="1197" spans="1:9" x14ac:dyDescent="0.25">
      <c r="A1197" t="str">
        <f>"000010559"</f>
        <v>000010559</v>
      </c>
      <c r="B1197" t="s">
        <v>4502</v>
      </c>
      <c r="D1197" t="s">
        <v>4503</v>
      </c>
      <c r="E1197" t="s">
        <v>4504</v>
      </c>
      <c r="G1197" t="s">
        <v>165</v>
      </c>
      <c r="H1197" t="s">
        <v>166</v>
      </c>
      <c r="I1197" t="s">
        <v>4505</v>
      </c>
    </row>
    <row r="1198" spans="1:9" x14ac:dyDescent="0.25">
      <c r="A1198" t="str">
        <f>"000010780"</f>
        <v>000010780</v>
      </c>
      <c r="B1198" t="s">
        <v>4506</v>
      </c>
      <c r="D1198" t="s">
        <v>4507</v>
      </c>
      <c r="G1198" t="s">
        <v>3615</v>
      </c>
      <c r="H1198" t="s">
        <v>39</v>
      </c>
      <c r="I1198" t="s">
        <v>4508</v>
      </c>
    </row>
    <row r="1199" spans="1:9" x14ac:dyDescent="0.25">
      <c r="A1199" t="str">
        <f>"000010777"</f>
        <v>000010777</v>
      </c>
      <c r="B1199" t="s">
        <v>4509</v>
      </c>
      <c r="D1199" t="s">
        <v>4510</v>
      </c>
      <c r="G1199" t="s">
        <v>64</v>
      </c>
      <c r="H1199" t="s">
        <v>39</v>
      </c>
      <c r="I1199" t="s">
        <v>4511</v>
      </c>
    </row>
    <row r="1200" spans="1:9" x14ac:dyDescent="0.25">
      <c r="A1200" t="str">
        <f>"000012171"</f>
        <v>000012171</v>
      </c>
      <c r="B1200" t="s">
        <v>4512</v>
      </c>
      <c r="D1200" t="s">
        <v>4513</v>
      </c>
      <c r="G1200" t="s">
        <v>64</v>
      </c>
      <c r="H1200" t="s">
        <v>39</v>
      </c>
      <c r="I1200" t="s">
        <v>4514</v>
      </c>
    </row>
    <row r="1201" spans="1:9" x14ac:dyDescent="0.25">
      <c r="A1201" t="str">
        <f>"000011954"</f>
        <v>000011954</v>
      </c>
      <c r="B1201" t="s">
        <v>4515</v>
      </c>
      <c r="D1201" t="s">
        <v>4516</v>
      </c>
      <c r="E1201" t="s">
        <v>4517</v>
      </c>
      <c r="G1201" t="s">
        <v>4518</v>
      </c>
      <c r="H1201" t="s">
        <v>39</v>
      </c>
      <c r="I1201" t="s">
        <v>4519</v>
      </c>
    </row>
    <row r="1202" spans="1:9" x14ac:dyDescent="0.25">
      <c r="A1202" t="str">
        <f>"000010614"</f>
        <v>000010614</v>
      </c>
      <c r="B1202" t="s">
        <v>4520</v>
      </c>
      <c r="D1202" t="s">
        <v>4521</v>
      </c>
      <c r="E1202" t="s">
        <v>4522</v>
      </c>
      <c r="F1202" t="s">
        <v>4523</v>
      </c>
      <c r="G1202" t="s">
        <v>64</v>
      </c>
      <c r="H1202" t="s">
        <v>39</v>
      </c>
      <c r="I1202" t="s">
        <v>4524</v>
      </c>
    </row>
    <row r="1203" spans="1:9" x14ac:dyDescent="0.25">
      <c r="A1203" t="str">
        <f>"000010610"</f>
        <v>000010610</v>
      </c>
      <c r="B1203" t="s">
        <v>4525</v>
      </c>
      <c r="D1203" t="s">
        <v>4526</v>
      </c>
      <c r="E1203" t="s">
        <v>4527</v>
      </c>
      <c r="G1203" t="s">
        <v>64</v>
      </c>
      <c r="H1203" t="s">
        <v>39</v>
      </c>
      <c r="I1203" t="s">
        <v>4528</v>
      </c>
    </row>
    <row r="1204" spans="1:9" x14ac:dyDescent="0.25">
      <c r="A1204" t="str">
        <f>"000011402"</f>
        <v>000011402</v>
      </c>
      <c r="B1204" t="s">
        <v>4529</v>
      </c>
      <c r="D1204" t="s">
        <v>4530</v>
      </c>
      <c r="G1204" t="s">
        <v>591</v>
      </c>
      <c r="H1204" t="s">
        <v>39</v>
      </c>
      <c r="I1204" t="s">
        <v>4531</v>
      </c>
    </row>
    <row r="1205" spans="1:9" x14ac:dyDescent="0.25">
      <c r="A1205" t="str">
        <f>"000011904"</f>
        <v>000011904</v>
      </c>
      <c r="B1205" t="s">
        <v>4532</v>
      </c>
      <c r="D1205" t="s">
        <v>4533</v>
      </c>
      <c r="G1205" t="s">
        <v>1567</v>
      </c>
      <c r="H1205" t="s">
        <v>1568</v>
      </c>
      <c r="I1205" t="s">
        <v>4534</v>
      </c>
    </row>
    <row r="1206" spans="1:9" x14ac:dyDescent="0.25">
      <c r="A1206" t="str">
        <f>"000010726"</f>
        <v>000010726</v>
      </c>
      <c r="B1206" t="s">
        <v>4535</v>
      </c>
      <c r="D1206" t="s">
        <v>4536</v>
      </c>
      <c r="G1206" t="s">
        <v>64</v>
      </c>
      <c r="H1206" t="s">
        <v>39</v>
      </c>
      <c r="I1206" t="s">
        <v>4537</v>
      </c>
    </row>
    <row r="1207" spans="1:9" x14ac:dyDescent="0.25">
      <c r="A1207" t="str">
        <f>"000012106"</f>
        <v>000012106</v>
      </c>
      <c r="B1207" t="s">
        <v>4538</v>
      </c>
      <c r="D1207" t="s">
        <v>4539</v>
      </c>
      <c r="E1207" t="s">
        <v>4540</v>
      </c>
      <c r="G1207" t="s">
        <v>64</v>
      </c>
      <c r="H1207" t="s">
        <v>39</v>
      </c>
      <c r="I1207" t="s">
        <v>4541</v>
      </c>
    </row>
    <row r="1208" spans="1:9" x14ac:dyDescent="0.25">
      <c r="A1208" t="str">
        <f>"000012382"</f>
        <v>000012382</v>
      </c>
      <c r="B1208" t="s">
        <v>4542</v>
      </c>
      <c r="D1208" t="s">
        <v>4543</v>
      </c>
      <c r="E1208" t="s">
        <v>4544</v>
      </c>
      <c r="G1208" t="s">
        <v>3056</v>
      </c>
      <c r="H1208" t="s">
        <v>1012</v>
      </c>
      <c r="I1208" t="s">
        <v>4545</v>
      </c>
    </row>
    <row r="1209" spans="1:9" x14ac:dyDescent="0.25">
      <c r="A1209" t="str">
        <f>"000012368"</f>
        <v>000012368</v>
      </c>
      <c r="B1209" t="s">
        <v>4546</v>
      </c>
      <c r="D1209" t="s">
        <v>4547</v>
      </c>
      <c r="E1209" t="s">
        <v>4548</v>
      </c>
      <c r="G1209" t="s">
        <v>890</v>
      </c>
      <c r="H1209" t="s">
        <v>39</v>
      </c>
      <c r="I1209" t="s">
        <v>4549</v>
      </c>
    </row>
    <row r="1210" spans="1:9" x14ac:dyDescent="0.25">
      <c r="A1210" t="str">
        <f>"000011555"</f>
        <v>000011555</v>
      </c>
      <c r="B1210" t="s">
        <v>4550</v>
      </c>
      <c r="D1210" t="s">
        <v>4551</v>
      </c>
      <c r="E1210" t="s">
        <v>4552</v>
      </c>
      <c r="G1210" t="s">
        <v>267</v>
      </c>
      <c r="H1210" t="s">
        <v>39</v>
      </c>
      <c r="I1210" t="s">
        <v>4553</v>
      </c>
    </row>
    <row r="1211" spans="1:9" x14ac:dyDescent="0.25">
      <c r="A1211" t="str">
        <f>"000011319"</f>
        <v>000011319</v>
      </c>
      <c r="B1211" t="s">
        <v>4554</v>
      </c>
      <c r="D1211" t="s">
        <v>4555</v>
      </c>
      <c r="G1211" t="s">
        <v>60</v>
      </c>
      <c r="H1211" t="s">
        <v>28</v>
      </c>
      <c r="I1211">
        <v>60693</v>
      </c>
    </row>
    <row r="1212" spans="1:9" x14ac:dyDescent="0.25">
      <c r="A1212" t="str">
        <f>"000859063"</f>
        <v>000859063</v>
      </c>
      <c r="B1212" t="s">
        <v>4556</v>
      </c>
      <c r="D1212" t="s">
        <v>4557</v>
      </c>
      <c r="G1212" t="s">
        <v>1785</v>
      </c>
      <c r="H1212" t="s">
        <v>39</v>
      </c>
      <c r="I1212" t="s">
        <v>4558</v>
      </c>
    </row>
    <row r="1213" spans="1:9" x14ac:dyDescent="0.25">
      <c r="A1213" t="str">
        <f>"000808741"</f>
        <v>000808741</v>
      </c>
      <c r="B1213" t="s">
        <v>4559</v>
      </c>
      <c r="D1213" t="s">
        <v>4560</v>
      </c>
      <c r="E1213" t="s">
        <v>4561</v>
      </c>
      <c r="G1213" t="s">
        <v>64</v>
      </c>
      <c r="H1213" t="s">
        <v>39</v>
      </c>
      <c r="I1213">
        <v>63132</v>
      </c>
    </row>
    <row r="1214" spans="1:9" x14ac:dyDescent="0.25">
      <c r="A1214" t="str">
        <f>"000818020"</f>
        <v>000818020</v>
      </c>
      <c r="B1214" t="s">
        <v>4562</v>
      </c>
      <c r="D1214" t="s">
        <v>4563</v>
      </c>
      <c r="E1214" t="s">
        <v>4564</v>
      </c>
      <c r="F1214" t="s">
        <v>4565</v>
      </c>
      <c r="G1214" t="s">
        <v>1599</v>
      </c>
      <c r="H1214" t="s">
        <v>477</v>
      </c>
      <c r="I1214" t="s">
        <v>4566</v>
      </c>
    </row>
    <row r="1215" spans="1:9" x14ac:dyDescent="0.25">
      <c r="A1215" t="str">
        <f>"000844657"</f>
        <v>000844657</v>
      </c>
      <c r="B1215" t="s">
        <v>4567</v>
      </c>
      <c r="D1215" t="s">
        <v>4568</v>
      </c>
      <c r="E1215" t="s">
        <v>4569</v>
      </c>
      <c r="G1215" t="s">
        <v>2145</v>
      </c>
      <c r="H1215" t="s">
        <v>614</v>
      </c>
      <c r="I1215" t="s">
        <v>4570</v>
      </c>
    </row>
    <row r="1216" spans="1:9" x14ac:dyDescent="0.25">
      <c r="A1216" t="str">
        <f>"000818028"</f>
        <v>000818028</v>
      </c>
      <c r="B1216" t="s">
        <v>4571</v>
      </c>
      <c r="D1216" t="s">
        <v>4572</v>
      </c>
      <c r="G1216" t="s">
        <v>1556</v>
      </c>
      <c r="H1216" t="s">
        <v>34</v>
      </c>
      <c r="I1216" t="s">
        <v>4573</v>
      </c>
    </row>
    <row r="1217" spans="1:9" x14ac:dyDescent="0.25">
      <c r="A1217" t="str">
        <f>"000850804"</f>
        <v>000850804</v>
      </c>
      <c r="B1217" t="s">
        <v>4574</v>
      </c>
      <c r="D1217" t="s">
        <v>4575</v>
      </c>
      <c r="G1217" t="s">
        <v>253</v>
      </c>
      <c r="H1217" t="s">
        <v>39</v>
      </c>
      <c r="I1217" t="s">
        <v>4576</v>
      </c>
    </row>
    <row r="1218" spans="1:9" x14ac:dyDescent="0.25">
      <c r="A1218" t="str">
        <f>"000836784"</f>
        <v>000836784</v>
      </c>
      <c r="B1218" t="s">
        <v>4577</v>
      </c>
      <c r="D1218" t="s">
        <v>4578</v>
      </c>
      <c r="G1218" t="s">
        <v>4579</v>
      </c>
      <c r="H1218" t="s">
        <v>1118</v>
      </c>
      <c r="I1218" t="s">
        <v>4580</v>
      </c>
    </row>
    <row r="1219" spans="1:9" x14ac:dyDescent="0.25">
      <c r="A1219" t="str">
        <f>"000803101"</f>
        <v>000803101</v>
      </c>
      <c r="B1219" t="s">
        <v>4581</v>
      </c>
      <c r="D1219" t="s">
        <v>4582</v>
      </c>
      <c r="E1219" t="s">
        <v>4583</v>
      </c>
      <c r="G1219" t="s">
        <v>64</v>
      </c>
      <c r="H1219" t="s">
        <v>39</v>
      </c>
      <c r="I1219" t="s">
        <v>4584</v>
      </c>
    </row>
    <row r="1220" spans="1:9" x14ac:dyDescent="0.25">
      <c r="A1220" t="str">
        <f>"000849352"</f>
        <v>000849352</v>
      </c>
      <c r="B1220" t="s">
        <v>4585</v>
      </c>
      <c r="D1220" t="s">
        <v>4586</v>
      </c>
      <c r="G1220" t="s">
        <v>60</v>
      </c>
      <c r="H1220" t="s">
        <v>28</v>
      </c>
      <c r="I1220">
        <v>60606</v>
      </c>
    </row>
    <row r="1221" spans="1:9" x14ac:dyDescent="0.25">
      <c r="A1221" t="str">
        <f>"000064738"</f>
        <v>000064738</v>
      </c>
      <c r="B1221" t="s">
        <v>4587</v>
      </c>
      <c r="D1221" t="s">
        <v>4588</v>
      </c>
      <c r="E1221" t="s">
        <v>4589</v>
      </c>
      <c r="G1221" t="s">
        <v>1768</v>
      </c>
      <c r="H1221" t="s">
        <v>827</v>
      </c>
      <c r="I1221" t="s">
        <v>4590</v>
      </c>
    </row>
    <row r="1222" spans="1:9" x14ac:dyDescent="0.25">
      <c r="A1222" t="str">
        <f>"000856610"</f>
        <v>000856610</v>
      </c>
      <c r="B1222" t="s">
        <v>4591</v>
      </c>
      <c r="D1222" t="s">
        <v>4592</v>
      </c>
      <c r="E1222" t="s">
        <v>4593</v>
      </c>
      <c r="G1222" t="s">
        <v>3519</v>
      </c>
      <c r="H1222" t="s">
        <v>524</v>
      </c>
      <c r="I1222" t="s">
        <v>4594</v>
      </c>
    </row>
    <row r="1223" spans="1:9" x14ac:dyDescent="0.25">
      <c r="A1223" t="str">
        <f>"000808369"</f>
        <v>000808369</v>
      </c>
      <c r="B1223" t="s">
        <v>4595</v>
      </c>
      <c r="D1223" t="s">
        <v>4596</v>
      </c>
      <c r="G1223" t="s">
        <v>4597</v>
      </c>
      <c r="H1223" t="s">
        <v>879</v>
      </c>
      <c r="I1223" t="s">
        <v>4598</v>
      </c>
    </row>
    <row r="1224" spans="1:9" x14ac:dyDescent="0.25">
      <c r="A1224" t="str">
        <f>"000808683"</f>
        <v>000808683</v>
      </c>
      <c r="B1224" t="s">
        <v>4599</v>
      </c>
      <c r="D1224" t="s">
        <v>4600</v>
      </c>
      <c r="G1224" t="s">
        <v>170</v>
      </c>
      <c r="H1224" t="s">
        <v>171</v>
      </c>
      <c r="I1224" t="s">
        <v>4601</v>
      </c>
    </row>
    <row r="1225" spans="1:9" x14ac:dyDescent="0.25">
      <c r="A1225" t="str">
        <f>"000808687"</f>
        <v>000808687</v>
      </c>
      <c r="B1225" t="s">
        <v>4602</v>
      </c>
      <c r="D1225" t="s">
        <v>4603</v>
      </c>
      <c r="E1225" t="s">
        <v>4604</v>
      </c>
      <c r="G1225" t="s">
        <v>1324</v>
      </c>
      <c r="H1225" t="s">
        <v>100</v>
      </c>
      <c r="I1225" t="s">
        <v>4605</v>
      </c>
    </row>
    <row r="1226" spans="1:9" x14ac:dyDescent="0.25">
      <c r="A1226" t="str">
        <f>"000832087"</f>
        <v>000832087</v>
      </c>
      <c r="B1226" t="s">
        <v>4606</v>
      </c>
      <c r="D1226" t="s">
        <v>4607</v>
      </c>
      <c r="G1226" t="s">
        <v>214</v>
      </c>
      <c r="H1226" t="s">
        <v>120</v>
      </c>
      <c r="I1226" t="s">
        <v>4608</v>
      </c>
    </row>
    <row r="1227" spans="1:9" x14ac:dyDescent="0.25">
      <c r="A1227" t="str">
        <f>"000808456"</f>
        <v>000808456</v>
      </c>
      <c r="B1227" t="s">
        <v>4609</v>
      </c>
      <c r="D1227" t="s">
        <v>4610</v>
      </c>
      <c r="G1227" t="s">
        <v>83</v>
      </c>
      <c r="H1227" t="s">
        <v>84</v>
      </c>
      <c r="I1227" t="s">
        <v>4611</v>
      </c>
    </row>
    <row r="1228" spans="1:9" x14ac:dyDescent="0.25">
      <c r="A1228" t="str">
        <f>"000858538"</f>
        <v>000858538</v>
      </c>
      <c r="B1228" t="s">
        <v>4612</v>
      </c>
      <c r="D1228" t="s">
        <v>4613</v>
      </c>
      <c r="E1228" t="s">
        <v>4614</v>
      </c>
      <c r="G1228" t="s">
        <v>3106</v>
      </c>
      <c r="H1228" t="s">
        <v>39</v>
      </c>
      <c r="I1228" t="s">
        <v>4615</v>
      </c>
    </row>
    <row r="1229" spans="1:9" x14ac:dyDescent="0.25">
      <c r="A1229" t="str">
        <f>"000858546"</f>
        <v>000858546</v>
      </c>
      <c r="B1229" t="s">
        <v>4616</v>
      </c>
      <c r="D1229" t="s">
        <v>4617</v>
      </c>
      <c r="G1229" t="s">
        <v>4618</v>
      </c>
      <c r="H1229" t="s">
        <v>84</v>
      </c>
      <c r="I1229" t="s">
        <v>4619</v>
      </c>
    </row>
    <row r="1230" spans="1:9" x14ac:dyDescent="0.25">
      <c r="A1230" t="str">
        <f>"000861180"</f>
        <v>000861180</v>
      </c>
      <c r="B1230" t="s">
        <v>4620</v>
      </c>
      <c r="D1230" t="s">
        <v>4621</v>
      </c>
      <c r="E1230" t="s">
        <v>4622</v>
      </c>
      <c r="G1230" t="s">
        <v>4623</v>
      </c>
      <c r="H1230" t="s">
        <v>1012</v>
      </c>
      <c r="I1230" t="s">
        <v>4624</v>
      </c>
    </row>
    <row r="1231" spans="1:9" x14ac:dyDescent="0.25">
      <c r="A1231" t="str">
        <f>"000858216"</f>
        <v>000858216</v>
      </c>
      <c r="B1231" t="s">
        <v>4625</v>
      </c>
      <c r="D1231" t="s">
        <v>4626</v>
      </c>
      <c r="E1231" t="s">
        <v>4627</v>
      </c>
      <c r="G1231" t="s">
        <v>253</v>
      </c>
      <c r="H1231" t="s">
        <v>39</v>
      </c>
      <c r="I1231" t="s">
        <v>4628</v>
      </c>
    </row>
    <row r="1232" spans="1:9" x14ac:dyDescent="0.25">
      <c r="A1232" t="str">
        <f>"000852539"</f>
        <v>000852539</v>
      </c>
      <c r="B1232" t="s">
        <v>4629</v>
      </c>
      <c r="D1232" t="s">
        <v>4630</v>
      </c>
      <c r="G1232" t="s">
        <v>60</v>
      </c>
      <c r="H1232" t="s">
        <v>28</v>
      </c>
      <c r="I1232" t="s">
        <v>4631</v>
      </c>
    </row>
    <row r="1233" spans="1:9" x14ac:dyDescent="0.25">
      <c r="A1233" t="str">
        <f>"000802019"</f>
        <v>000802019</v>
      </c>
      <c r="B1233" t="s">
        <v>4632</v>
      </c>
      <c r="D1233" t="s">
        <v>4633</v>
      </c>
      <c r="E1233" t="s">
        <v>4634</v>
      </c>
      <c r="F1233" t="s">
        <v>4635</v>
      </c>
      <c r="G1233" t="s">
        <v>253</v>
      </c>
      <c r="H1233" t="s">
        <v>28</v>
      </c>
      <c r="I1233" t="s">
        <v>4636</v>
      </c>
    </row>
    <row r="1234" spans="1:9" x14ac:dyDescent="0.25">
      <c r="A1234" t="str">
        <f>"000813710"</f>
        <v>000813710</v>
      </c>
      <c r="B1234" t="s">
        <v>4637</v>
      </c>
      <c r="D1234" t="s">
        <v>4638</v>
      </c>
      <c r="G1234" t="s">
        <v>4639</v>
      </c>
      <c r="H1234" t="s">
        <v>827</v>
      </c>
      <c r="I1234" t="s">
        <v>4640</v>
      </c>
    </row>
    <row r="1235" spans="1:9" x14ac:dyDescent="0.25">
      <c r="A1235" t="str">
        <f>"000802057"</f>
        <v>000802057</v>
      </c>
      <c r="B1235" t="s">
        <v>4641</v>
      </c>
      <c r="D1235" t="s">
        <v>4642</v>
      </c>
      <c r="E1235" t="s">
        <v>4643</v>
      </c>
      <c r="F1235" t="s">
        <v>4644</v>
      </c>
      <c r="G1235" t="s">
        <v>291</v>
      </c>
      <c r="H1235" t="s">
        <v>182</v>
      </c>
      <c r="I1235" t="s">
        <v>4645</v>
      </c>
    </row>
    <row r="1236" spans="1:9" x14ac:dyDescent="0.25">
      <c r="A1236" t="str">
        <f>"000859635"</f>
        <v>000859635</v>
      </c>
      <c r="B1236" t="s">
        <v>4646</v>
      </c>
      <c r="D1236" t="s">
        <v>4647</v>
      </c>
      <c r="G1236" t="s">
        <v>291</v>
      </c>
      <c r="H1236" t="s">
        <v>182</v>
      </c>
      <c r="I1236" t="s">
        <v>4648</v>
      </c>
    </row>
    <row r="1237" spans="1:9" x14ac:dyDescent="0.25">
      <c r="A1237" t="str">
        <f>"000837053"</f>
        <v>000837053</v>
      </c>
      <c r="B1237" t="s">
        <v>4649</v>
      </c>
      <c r="D1237" t="s">
        <v>4650</v>
      </c>
      <c r="G1237" t="s">
        <v>214</v>
      </c>
      <c r="H1237" t="s">
        <v>120</v>
      </c>
      <c r="I1237" t="s">
        <v>4651</v>
      </c>
    </row>
    <row r="1238" spans="1:9" x14ac:dyDescent="0.25">
      <c r="A1238" t="str">
        <f>"000813513"</f>
        <v>000813513</v>
      </c>
      <c r="B1238" t="s">
        <v>4652</v>
      </c>
      <c r="D1238" t="s">
        <v>4653</v>
      </c>
      <c r="G1238" t="s">
        <v>4654</v>
      </c>
      <c r="H1238" t="s">
        <v>221</v>
      </c>
      <c r="I1238" t="s">
        <v>4655</v>
      </c>
    </row>
    <row r="1239" spans="1:9" x14ac:dyDescent="0.25">
      <c r="A1239" t="str">
        <f>"000814967"</f>
        <v>000814967</v>
      </c>
      <c r="B1239" t="s">
        <v>4656</v>
      </c>
      <c r="D1239" t="s">
        <v>4657</v>
      </c>
      <c r="E1239" t="s">
        <v>4658</v>
      </c>
      <c r="G1239" t="s">
        <v>4659</v>
      </c>
      <c r="H1239" t="s">
        <v>34</v>
      </c>
      <c r="I1239" t="s">
        <v>4660</v>
      </c>
    </row>
    <row r="1240" spans="1:9" x14ac:dyDescent="0.25">
      <c r="A1240" t="str">
        <f>"000830493"</f>
        <v>000830493</v>
      </c>
      <c r="B1240" t="s">
        <v>4661</v>
      </c>
      <c r="D1240" t="s">
        <v>4662</v>
      </c>
      <c r="E1240" t="s">
        <v>4663</v>
      </c>
      <c r="G1240" t="s">
        <v>4664</v>
      </c>
      <c r="H1240" t="s">
        <v>120</v>
      </c>
      <c r="I1240" t="s">
        <v>4665</v>
      </c>
    </row>
    <row r="1241" spans="1:9" x14ac:dyDescent="0.25">
      <c r="A1241" t="str">
        <f>"000858147"</f>
        <v>000858147</v>
      </c>
      <c r="B1241" t="s">
        <v>4666</v>
      </c>
      <c r="D1241" t="s">
        <v>4667</v>
      </c>
      <c r="G1241" t="s">
        <v>4668</v>
      </c>
      <c r="H1241" t="s">
        <v>84</v>
      </c>
      <c r="I1241" t="s">
        <v>4669</v>
      </c>
    </row>
    <row r="1242" spans="1:9" x14ac:dyDescent="0.25">
      <c r="A1242" t="str">
        <f>"000855518"</f>
        <v>000855518</v>
      </c>
      <c r="B1242" t="s">
        <v>4670</v>
      </c>
      <c r="D1242" t="s">
        <v>4671</v>
      </c>
      <c r="G1242" t="s">
        <v>4672</v>
      </c>
      <c r="H1242" t="s">
        <v>120</v>
      </c>
      <c r="I1242" t="s">
        <v>4673</v>
      </c>
    </row>
    <row r="1243" spans="1:9" x14ac:dyDescent="0.25">
      <c r="A1243" t="str">
        <f>"000857080"</f>
        <v>000857080</v>
      </c>
      <c r="B1243" t="s">
        <v>4674</v>
      </c>
      <c r="D1243" t="s">
        <v>4675</v>
      </c>
      <c r="G1243" t="s">
        <v>715</v>
      </c>
      <c r="H1243" t="s">
        <v>39</v>
      </c>
      <c r="I1243" t="s">
        <v>4676</v>
      </c>
    </row>
    <row r="1244" spans="1:9" x14ac:dyDescent="0.25">
      <c r="A1244" t="str">
        <f>"000813799"</f>
        <v>000813799</v>
      </c>
      <c r="B1244" t="s">
        <v>4677</v>
      </c>
      <c r="D1244" t="s">
        <v>4678</v>
      </c>
      <c r="G1244" t="s">
        <v>890</v>
      </c>
      <c r="H1244" t="s">
        <v>39</v>
      </c>
      <c r="I1244" t="s">
        <v>4679</v>
      </c>
    </row>
    <row r="1245" spans="1:9" x14ac:dyDescent="0.25">
      <c r="A1245" t="str">
        <f>"000818600"</f>
        <v>000818600</v>
      </c>
      <c r="B1245" t="s">
        <v>4680</v>
      </c>
      <c r="D1245" t="s">
        <v>2811</v>
      </c>
      <c r="G1245" t="s">
        <v>4618</v>
      </c>
      <c r="H1245" t="s">
        <v>84</v>
      </c>
      <c r="I1245" t="s">
        <v>4681</v>
      </c>
    </row>
    <row r="1246" spans="1:9" x14ac:dyDescent="0.25">
      <c r="A1246" t="str">
        <f>"000913810"</f>
        <v>000913810</v>
      </c>
      <c r="B1246" t="s">
        <v>4682</v>
      </c>
      <c r="D1246" t="s">
        <v>4683</v>
      </c>
      <c r="G1246" t="s">
        <v>387</v>
      </c>
      <c r="H1246" t="s">
        <v>182</v>
      </c>
      <c r="I1246" t="s">
        <v>4684</v>
      </c>
    </row>
    <row r="1247" spans="1:9" x14ac:dyDescent="0.25">
      <c r="A1247" t="str">
        <f>"000920459"</f>
        <v>000920459</v>
      </c>
      <c r="B1247" t="s">
        <v>4685</v>
      </c>
      <c r="D1247" t="s">
        <v>4686</v>
      </c>
      <c r="E1247" t="s">
        <v>4687</v>
      </c>
      <c r="G1247" t="s">
        <v>64</v>
      </c>
      <c r="H1247" t="s">
        <v>39</v>
      </c>
      <c r="I1247" t="s">
        <v>4688</v>
      </c>
    </row>
    <row r="1248" spans="1:9" x14ac:dyDescent="0.25">
      <c r="A1248" t="str">
        <f>"000171078"</f>
        <v>000171078</v>
      </c>
      <c r="B1248" t="s">
        <v>4689</v>
      </c>
      <c r="D1248" t="s">
        <v>4690</v>
      </c>
      <c r="G1248" t="s">
        <v>90</v>
      </c>
      <c r="H1248" t="s">
        <v>39</v>
      </c>
      <c r="I1248" t="s">
        <v>4691</v>
      </c>
    </row>
    <row r="1249" spans="1:9" x14ac:dyDescent="0.25">
      <c r="A1249" t="str">
        <f>"000169378"</f>
        <v>000169378</v>
      </c>
      <c r="B1249" t="s">
        <v>4692</v>
      </c>
      <c r="D1249" t="s">
        <v>4693</v>
      </c>
      <c r="E1249" t="s">
        <v>4694</v>
      </c>
      <c r="G1249" t="s">
        <v>176</v>
      </c>
      <c r="H1249" t="s">
        <v>75</v>
      </c>
      <c r="I1249" t="s">
        <v>4695</v>
      </c>
    </row>
    <row r="1250" spans="1:9" x14ac:dyDescent="0.25">
      <c r="A1250" t="str">
        <f>"000156727"</f>
        <v>000156727</v>
      </c>
      <c r="B1250" t="s">
        <v>4696</v>
      </c>
      <c r="D1250" t="s">
        <v>4697</v>
      </c>
      <c r="G1250" t="s">
        <v>898</v>
      </c>
      <c r="H1250" t="s">
        <v>51</v>
      </c>
      <c r="I1250" t="s">
        <v>4698</v>
      </c>
    </row>
    <row r="1251" spans="1:9" x14ac:dyDescent="0.25">
      <c r="A1251" t="str">
        <f>"000806914"</f>
        <v>000806914</v>
      </c>
      <c r="B1251" t="s">
        <v>4699</v>
      </c>
      <c r="D1251" t="s">
        <v>4700</v>
      </c>
      <c r="G1251" t="s">
        <v>60</v>
      </c>
      <c r="H1251" t="s">
        <v>28</v>
      </c>
      <c r="I1251" t="s">
        <v>4701</v>
      </c>
    </row>
    <row r="1252" spans="1:9" x14ac:dyDescent="0.25">
      <c r="A1252" t="str">
        <f>"000911089"</f>
        <v>000911089</v>
      </c>
      <c r="B1252" t="s">
        <v>4702</v>
      </c>
      <c r="D1252" t="s">
        <v>4703</v>
      </c>
      <c r="G1252" t="s">
        <v>2564</v>
      </c>
      <c r="H1252" t="s">
        <v>75</v>
      </c>
      <c r="I1252" t="s">
        <v>4704</v>
      </c>
    </row>
    <row r="1253" spans="1:9" x14ac:dyDescent="0.25">
      <c r="A1253" t="str">
        <f>"000897560"</f>
        <v>000897560</v>
      </c>
      <c r="B1253" t="s">
        <v>4705</v>
      </c>
      <c r="D1253" t="s">
        <v>21</v>
      </c>
      <c r="G1253" t="s">
        <v>613</v>
      </c>
      <c r="H1253" t="s">
        <v>614</v>
      </c>
      <c r="I1253" t="s">
        <v>4706</v>
      </c>
    </row>
    <row r="1254" spans="1:9" x14ac:dyDescent="0.25">
      <c r="A1254" t="str">
        <f>"000185365"</f>
        <v>000185365</v>
      </c>
      <c r="B1254" t="s">
        <v>4707</v>
      </c>
      <c r="D1254" t="s">
        <v>4708</v>
      </c>
      <c r="G1254" t="s">
        <v>4709</v>
      </c>
      <c r="H1254" t="s">
        <v>34</v>
      </c>
      <c r="I1254" t="s">
        <v>4710</v>
      </c>
    </row>
    <row r="1255" spans="1:9" x14ac:dyDescent="0.25">
      <c r="A1255" t="str">
        <f>"000922698"</f>
        <v>000922698</v>
      </c>
      <c r="B1255" t="s">
        <v>4711</v>
      </c>
      <c r="D1255" t="s">
        <v>4712</v>
      </c>
      <c r="G1255" t="s">
        <v>4713</v>
      </c>
      <c r="H1255" t="s">
        <v>39</v>
      </c>
      <c r="I1255" t="s">
        <v>4714</v>
      </c>
    </row>
    <row r="1256" spans="1:9" x14ac:dyDescent="0.25">
      <c r="A1256" t="str">
        <f>"000561781"</f>
        <v>000561781</v>
      </c>
      <c r="B1256" t="s">
        <v>4715</v>
      </c>
      <c r="D1256" t="s">
        <v>4716</v>
      </c>
      <c r="G1256" t="s">
        <v>1556</v>
      </c>
      <c r="H1256" t="s">
        <v>34</v>
      </c>
      <c r="I1256" t="s">
        <v>4717</v>
      </c>
    </row>
    <row r="1257" spans="1:9" x14ac:dyDescent="0.25">
      <c r="A1257" t="str">
        <f>"000562434"</f>
        <v>000562434</v>
      </c>
      <c r="B1257" t="s">
        <v>4718</v>
      </c>
      <c r="D1257" t="s">
        <v>4719</v>
      </c>
      <c r="G1257" t="s">
        <v>64</v>
      </c>
      <c r="H1257" t="s">
        <v>39</v>
      </c>
      <c r="I1257" t="s">
        <v>4720</v>
      </c>
    </row>
    <row r="1258" spans="1:9" x14ac:dyDescent="0.25">
      <c r="A1258" t="str">
        <f>"000217633"</f>
        <v>000217633</v>
      </c>
      <c r="B1258" t="s">
        <v>4721</v>
      </c>
      <c r="D1258" t="s">
        <v>4722</v>
      </c>
      <c r="E1258" t="s">
        <v>4723</v>
      </c>
      <c r="G1258" t="s">
        <v>4724</v>
      </c>
      <c r="H1258" t="s">
        <v>221</v>
      </c>
      <c r="I1258" t="s">
        <v>4725</v>
      </c>
    </row>
    <row r="1259" spans="1:9" x14ac:dyDescent="0.25">
      <c r="A1259" t="str">
        <f>"000216669"</f>
        <v>000216669</v>
      </c>
      <c r="B1259" t="s">
        <v>4726</v>
      </c>
      <c r="D1259" t="s">
        <v>4727</v>
      </c>
      <c r="E1259" t="s">
        <v>4728</v>
      </c>
      <c r="G1259" t="s">
        <v>64</v>
      </c>
      <c r="H1259" t="s">
        <v>39</v>
      </c>
      <c r="I1259" t="s">
        <v>4729</v>
      </c>
    </row>
    <row r="1260" spans="1:9" x14ac:dyDescent="0.25">
      <c r="A1260" t="str">
        <f>"000869567"</f>
        <v>000869567</v>
      </c>
      <c r="B1260" t="s">
        <v>4730</v>
      </c>
      <c r="D1260" t="s">
        <v>4731</v>
      </c>
      <c r="E1260" t="s">
        <v>4732</v>
      </c>
      <c r="G1260" t="s">
        <v>64</v>
      </c>
      <c r="H1260" t="s">
        <v>39</v>
      </c>
      <c r="I1260" t="s">
        <v>4733</v>
      </c>
    </row>
    <row r="1261" spans="1:9" x14ac:dyDescent="0.25">
      <c r="A1261" t="str">
        <f>"000602171"</f>
        <v>000602171</v>
      </c>
      <c r="B1261" t="s">
        <v>4734</v>
      </c>
      <c r="D1261" t="s">
        <v>4735</v>
      </c>
      <c r="G1261" t="s">
        <v>90</v>
      </c>
      <c r="H1261" t="s">
        <v>39</v>
      </c>
      <c r="I1261" t="s">
        <v>4736</v>
      </c>
    </row>
    <row r="1262" spans="1:9" x14ac:dyDescent="0.25">
      <c r="A1262" t="str">
        <f>"000917249"</f>
        <v>000917249</v>
      </c>
      <c r="B1262" t="s">
        <v>4737</v>
      </c>
      <c r="D1262" t="s">
        <v>4738</v>
      </c>
      <c r="G1262" t="s">
        <v>4739</v>
      </c>
      <c r="H1262" t="s">
        <v>221</v>
      </c>
      <c r="I1262">
        <v>49008</v>
      </c>
    </row>
    <row r="1263" spans="1:9" x14ac:dyDescent="0.25">
      <c r="A1263" t="str">
        <f>"000920754"</f>
        <v>000920754</v>
      </c>
      <c r="B1263" t="s">
        <v>4740</v>
      </c>
      <c r="D1263" t="s">
        <v>4741</v>
      </c>
      <c r="G1263" t="s">
        <v>591</v>
      </c>
      <c r="H1263" t="s">
        <v>39</v>
      </c>
      <c r="I1263" t="s">
        <v>4742</v>
      </c>
    </row>
    <row r="1264" spans="1:9" x14ac:dyDescent="0.25">
      <c r="A1264" t="str">
        <f>"000169137"</f>
        <v>000169137</v>
      </c>
      <c r="B1264" t="s">
        <v>4743</v>
      </c>
      <c r="D1264" t="s">
        <v>4744</v>
      </c>
      <c r="E1264" t="s">
        <v>4745</v>
      </c>
      <c r="G1264" t="s">
        <v>291</v>
      </c>
      <c r="H1264" t="s">
        <v>182</v>
      </c>
      <c r="I1264" t="s">
        <v>4746</v>
      </c>
    </row>
    <row r="1265" spans="1:9" x14ac:dyDescent="0.25">
      <c r="A1265" t="str">
        <f>"000911800"</f>
        <v>000911800</v>
      </c>
      <c r="B1265" t="s">
        <v>4747</v>
      </c>
      <c r="D1265" t="s">
        <v>4748</v>
      </c>
      <c r="G1265" t="s">
        <v>38</v>
      </c>
      <c r="H1265" t="s">
        <v>39</v>
      </c>
      <c r="I1265" t="s">
        <v>4749</v>
      </c>
    </row>
    <row r="1266" spans="1:9" x14ac:dyDescent="0.25">
      <c r="A1266" t="str">
        <f>"000929856"</f>
        <v>000929856</v>
      </c>
      <c r="B1266" t="s">
        <v>4750</v>
      </c>
      <c r="D1266" t="s">
        <v>4751</v>
      </c>
      <c r="G1266" t="s">
        <v>295</v>
      </c>
      <c r="H1266" t="s">
        <v>296</v>
      </c>
      <c r="I1266" t="s">
        <v>4752</v>
      </c>
    </row>
    <row r="1267" spans="1:9" x14ac:dyDescent="0.25">
      <c r="A1267" t="str">
        <f>"000213078"</f>
        <v>000213078</v>
      </c>
      <c r="B1267" t="s">
        <v>4753</v>
      </c>
      <c r="D1267" t="s">
        <v>2175</v>
      </c>
      <c r="G1267" t="s">
        <v>2176</v>
      </c>
      <c r="H1267" t="s">
        <v>75</v>
      </c>
      <c r="I1267" t="s">
        <v>4754</v>
      </c>
    </row>
    <row r="1268" spans="1:9" x14ac:dyDescent="0.25">
      <c r="A1268" t="str">
        <f>"000919682"</f>
        <v>000919682</v>
      </c>
      <c r="B1268" t="s">
        <v>4755</v>
      </c>
      <c r="D1268" t="s">
        <v>4756</v>
      </c>
      <c r="G1268" t="s">
        <v>1242</v>
      </c>
      <c r="H1268" t="s">
        <v>221</v>
      </c>
      <c r="I1268" t="s">
        <v>4757</v>
      </c>
    </row>
    <row r="1269" spans="1:9" x14ac:dyDescent="0.25">
      <c r="A1269" t="str">
        <f>"000323039"</f>
        <v>000323039</v>
      </c>
      <c r="B1269" t="s">
        <v>4758</v>
      </c>
      <c r="D1269" t="s">
        <v>4759</v>
      </c>
      <c r="G1269" t="s">
        <v>4760</v>
      </c>
      <c r="H1269" t="s">
        <v>120</v>
      </c>
      <c r="I1269" t="s">
        <v>4761</v>
      </c>
    </row>
    <row r="1270" spans="1:9" x14ac:dyDescent="0.25">
      <c r="A1270" t="str">
        <f>"000295737"</f>
        <v>000295737</v>
      </c>
      <c r="B1270" t="s">
        <v>4762</v>
      </c>
      <c r="D1270" t="s">
        <v>4763</v>
      </c>
      <c r="G1270" t="s">
        <v>130</v>
      </c>
      <c r="H1270" t="s">
        <v>131</v>
      </c>
      <c r="I1270" t="s">
        <v>4764</v>
      </c>
    </row>
    <row r="1271" spans="1:9" x14ac:dyDescent="0.25">
      <c r="A1271" t="str">
        <f>"000925873"</f>
        <v>000925873</v>
      </c>
      <c r="B1271" t="s">
        <v>4765</v>
      </c>
      <c r="D1271" t="s">
        <v>4766</v>
      </c>
      <c r="E1271" t="s">
        <v>4767</v>
      </c>
      <c r="G1271" t="s">
        <v>3729</v>
      </c>
      <c r="H1271" t="s">
        <v>1012</v>
      </c>
      <c r="I1271" t="s">
        <v>4768</v>
      </c>
    </row>
    <row r="1272" spans="1:9" x14ac:dyDescent="0.25">
      <c r="A1272" t="str">
        <f>"000322318"</f>
        <v>000322318</v>
      </c>
      <c r="B1272" t="s">
        <v>4769</v>
      </c>
      <c r="D1272" t="s">
        <v>4770</v>
      </c>
      <c r="E1272" t="s">
        <v>4771</v>
      </c>
      <c r="F1272" t="s">
        <v>4772</v>
      </c>
      <c r="G1272" t="s">
        <v>2072</v>
      </c>
      <c r="H1272" t="s">
        <v>161</v>
      </c>
      <c r="I1272" t="s">
        <v>4773</v>
      </c>
    </row>
    <row r="1273" spans="1:9" x14ac:dyDescent="0.25">
      <c r="A1273" t="str">
        <f>"000295805"</f>
        <v>000295805</v>
      </c>
      <c r="B1273" t="s">
        <v>4774</v>
      </c>
      <c r="D1273" t="s">
        <v>4775</v>
      </c>
      <c r="G1273" t="s">
        <v>90</v>
      </c>
      <c r="H1273" t="s">
        <v>39</v>
      </c>
      <c r="I1273" t="s">
        <v>4776</v>
      </c>
    </row>
    <row r="1274" spans="1:9" x14ac:dyDescent="0.25">
      <c r="A1274" t="str">
        <f>"000323001"</f>
        <v>000323001</v>
      </c>
      <c r="B1274" t="s">
        <v>4777</v>
      </c>
      <c r="D1274" t="s">
        <v>4778</v>
      </c>
      <c r="E1274" t="s">
        <v>4779</v>
      </c>
      <c r="G1274" t="s">
        <v>38</v>
      </c>
      <c r="H1274" t="s">
        <v>39</v>
      </c>
      <c r="I1274" t="s">
        <v>4780</v>
      </c>
    </row>
    <row r="1275" spans="1:9" x14ac:dyDescent="0.25">
      <c r="A1275" t="str">
        <f>"000322839"</f>
        <v>000322839</v>
      </c>
      <c r="B1275" t="s">
        <v>4781</v>
      </c>
      <c r="D1275" t="s">
        <v>4782</v>
      </c>
      <c r="E1275" t="s">
        <v>3762</v>
      </c>
      <c r="G1275" t="s">
        <v>64</v>
      </c>
      <c r="H1275" t="s">
        <v>39</v>
      </c>
      <c r="I1275" t="s">
        <v>4783</v>
      </c>
    </row>
    <row r="1276" spans="1:9" x14ac:dyDescent="0.25">
      <c r="A1276" t="str">
        <f>"000323811"</f>
        <v>000323811</v>
      </c>
      <c r="B1276" t="s">
        <v>4784</v>
      </c>
      <c r="D1276" t="s">
        <v>4785</v>
      </c>
      <c r="E1276" t="s">
        <v>4786</v>
      </c>
      <c r="G1276" t="s">
        <v>242</v>
      </c>
      <c r="H1276" t="s">
        <v>161</v>
      </c>
      <c r="I1276">
        <v>28217</v>
      </c>
    </row>
    <row r="1277" spans="1:9" x14ac:dyDescent="0.25">
      <c r="A1277" t="str">
        <f>"000331363"</f>
        <v>000331363</v>
      </c>
      <c r="B1277" t="s">
        <v>4787</v>
      </c>
      <c r="D1277" t="s">
        <v>4788</v>
      </c>
      <c r="G1277" t="s">
        <v>1026</v>
      </c>
      <c r="H1277" t="s">
        <v>263</v>
      </c>
      <c r="I1277" t="s">
        <v>4789</v>
      </c>
    </row>
    <row r="1278" spans="1:9" x14ac:dyDescent="0.25">
      <c r="A1278" t="str">
        <f>"000322378"</f>
        <v>000322378</v>
      </c>
      <c r="B1278" t="s">
        <v>4790</v>
      </c>
      <c r="D1278" t="s">
        <v>4791</v>
      </c>
      <c r="E1278" t="s">
        <v>4792</v>
      </c>
      <c r="G1278" t="s">
        <v>170</v>
      </c>
      <c r="H1278" t="s">
        <v>171</v>
      </c>
      <c r="I1278" t="s">
        <v>4793</v>
      </c>
    </row>
    <row r="1279" spans="1:9" x14ac:dyDescent="0.25">
      <c r="A1279" t="str">
        <f>"000322557"</f>
        <v>000322557</v>
      </c>
      <c r="B1279" t="s">
        <v>4794</v>
      </c>
      <c r="D1279" t="s">
        <v>4795</v>
      </c>
      <c r="G1279" t="s">
        <v>12</v>
      </c>
      <c r="H1279" t="s">
        <v>13</v>
      </c>
      <c r="I1279" t="s">
        <v>4796</v>
      </c>
    </row>
    <row r="1280" spans="1:9" x14ac:dyDescent="0.25">
      <c r="A1280" t="str">
        <f>"000324112"</f>
        <v>000324112</v>
      </c>
      <c r="B1280" t="s">
        <v>4797</v>
      </c>
      <c r="D1280" t="s">
        <v>4798</v>
      </c>
      <c r="G1280" t="s">
        <v>60</v>
      </c>
      <c r="H1280" t="s">
        <v>28</v>
      </c>
      <c r="I1280" t="s">
        <v>4799</v>
      </c>
    </row>
    <row r="1281" spans="1:9" x14ac:dyDescent="0.25">
      <c r="A1281" t="str">
        <f>"000322394"</f>
        <v>000322394</v>
      </c>
      <c r="B1281" t="s">
        <v>4800</v>
      </c>
      <c r="D1281" t="s">
        <v>4801</v>
      </c>
      <c r="G1281" t="s">
        <v>64</v>
      </c>
      <c r="H1281" t="s">
        <v>39</v>
      </c>
      <c r="I1281" t="s">
        <v>4802</v>
      </c>
    </row>
    <row r="1282" spans="1:9" x14ac:dyDescent="0.25">
      <c r="A1282" t="str">
        <f>"000322634"</f>
        <v>000322634</v>
      </c>
      <c r="B1282" t="s">
        <v>4803</v>
      </c>
      <c r="D1282" t="s">
        <v>4804</v>
      </c>
      <c r="G1282" t="s">
        <v>3519</v>
      </c>
      <c r="H1282" t="s">
        <v>524</v>
      </c>
      <c r="I1282" t="s">
        <v>4805</v>
      </c>
    </row>
    <row r="1283" spans="1:9" x14ac:dyDescent="0.25">
      <c r="A1283" t="str">
        <f>"000324302"</f>
        <v>000324302</v>
      </c>
      <c r="B1283" t="s">
        <v>4806</v>
      </c>
      <c r="D1283" t="s">
        <v>4807</v>
      </c>
      <c r="G1283" t="s">
        <v>69</v>
      </c>
      <c r="H1283" t="s">
        <v>70</v>
      </c>
      <c r="I1283" t="s">
        <v>4808</v>
      </c>
    </row>
    <row r="1284" spans="1:9" x14ac:dyDescent="0.25">
      <c r="A1284" t="str">
        <f>"000324329"</f>
        <v>000324329</v>
      </c>
      <c r="B1284" t="s">
        <v>4809</v>
      </c>
      <c r="D1284" t="s">
        <v>4810</v>
      </c>
      <c r="G1284" t="s">
        <v>613</v>
      </c>
      <c r="H1284" t="s">
        <v>614</v>
      </c>
      <c r="I1284" t="s">
        <v>4811</v>
      </c>
    </row>
    <row r="1285" spans="1:9" x14ac:dyDescent="0.25">
      <c r="A1285" t="str">
        <f>"000153928"</f>
        <v>000153928</v>
      </c>
      <c r="B1285" t="s">
        <v>4812</v>
      </c>
      <c r="D1285" t="s">
        <v>4813</v>
      </c>
      <c r="E1285" t="s">
        <v>4814</v>
      </c>
      <c r="G1285" t="s">
        <v>550</v>
      </c>
      <c r="H1285" t="s">
        <v>39</v>
      </c>
      <c r="I1285" t="s">
        <v>4815</v>
      </c>
    </row>
    <row r="1286" spans="1:9" x14ac:dyDescent="0.25">
      <c r="A1286" t="str">
        <f>"000322895"</f>
        <v>000322895</v>
      </c>
      <c r="B1286" t="s">
        <v>4816</v>
      </c>
      <c r="D1286" t="s">
        <v>4817</v>
      </c>
      <c r="E1286" t="s">
        <v>4818</v>
      </c>
      <c r="F1286" t="s">
        <v>4819</v>
      </c>
      <c r="G1286" t="s">
        <v>64</v>
      </c>
      <c r="H1286" t="s">
        <v>39</v>
      </c>
      <c r="I1286" t="s">
        <v>4820</v>
      </c>
    </row>
    <row r="1287" spans="1:9" x14ac:dyDescent="0.25">
      <c r="A1287" t="str">
        <f>"000221853"</f>
        <v>000221853</v>
      </c>
      <c r="B1287" t="s">
        <v>4821</v>
      </c>
      <c r="D1287" t="s">
        <v>4822</v>
      </c>
      <c r="E1287" t="s">
        <v>4823</v>
      </c>
      <c r="G1287" t="s">
        <v>2068</v>
      </c>
      <c r="H1287" t="s">
        <v>182</v>
      </c>
      <c r="I1287" t="s">
        <v>4824</v>
      </c>
    </row>
    <row r="1288" spans="1:9" x14ac:dyDescent="0.25">
      <c r="A1288" t="str">
        <f>"000263311"</f>
        <v>000263311</v>
      </c>
      <c r="B1288" t="s">
        <v>4825</v>
      </c>
      <c r="D1288" t="s">
        <v>4826</v>
      </c>
      <c r="E1288" t="s">
        <v>4827</v>
      </c>
      <c r="G1288" t="s">
        <v>4828</v>
      </c>
      <c r="H1288" t="s">
        <v>13</v>
      </c>
      <c r="I1288" t="s">
        <v>4829</v>
      </c>
    </row>
    <row r="1289" spans="1:9" x14ac:dyDescent="0.25">
      <c r="A1289" t="str">
        <f>"000298831"</f>
        <v>000298831</v>
      </c>
      <c r="B1289" t="s">
        <v>4830</v>
      </c>
      <c r="D1289" t="s">
        <v>4831</v>
      </c>
      <c r="G1289" t="s">
        <v>356</v>
      </c>
      <c r="I1289">
        <v>187</v>
      </c>
    </row>
    <row r="1290" spans="1:9" x14ac:dyDescent="0.25">
      <c r="A1290" t="str">
        <f>"000282732"</f>
        <v>000282732</v>
      </c>
      <c r="B1290" t="s">
        <v>4832</v>
      </c>
      <c r="D1290" t="s">
        <v>4833</v>
      </c>
      <c r="E1290" t="s">
        <v>4834</v>
      </c>
      <c r="G1290" t="s">
        <v>60</v>
      </c>
      <c r="H1290" t="s">
        <v>28</v>
      </c>
      <c r="I1290" t="s">
        <v>4835</v>
      </c>
    </row>
    <row r="1291" spans="1:9" x14ac:dyDescent="0.25">
      <c r="A1291" t="str">
        <f>"000291088"</f>
        <v>000291088</v>
      </c>
      <c r="B1291" t="s">
        <v>4836</v>
      </c>
      <c r="D1291" t="s">
        <v>4837</v>
      </c>
      <c r="G1291" t="s">
        <v>4838</v>
      </c>
      <c r="H1291" t="s">
        <v>28</v>
      </c>
      <c r="I1291" t="s">
        <v>4839</v>
      </c>
    </row>
    <row r="1292" spans="1:9" x14ac:dyDescent="0.25">
      <c r="A1292" t="str">
        <f>"000351267"</f>
        <v>000351267</v>
      </c>
      <c r="B1292" t="s">
        <v>4840</v>
      </c>
      <c r="D1292" t="s">
        <v>4841</v>
      </c>
      <c r="G1292" t="s">
        <v>214</v>
      </c>
      <c r="H1292" t="s">
        <v>120</v>
      </c>
      <c r="I1292" t="s">
        <v>4842</v>
      </c>
    </row>
    <row r="1293" spans="1:9" x14ac:dyDescent="0.25">
      <c r="A1293" t="str">
        <f>"000290111"</f>
        <v>000290111</v>
      </c>
      <c r="B1293" t="s">
        <v>4843</v>
      </c>
      <c r="D1293" t="s">
        <v>4844</v>
      </c>
      <c r="G1293" t="s">
        <v>4845</v>
      </c>
      <c r="H1293" t="s">
        <v>166</v>
      </c>
      <c r="I1293" t="s">
        <v>4846</v>
      </c>
    </row>
    <row r="1294" spans="1:9" x14ac:dyDescent="0.25">
      <c r="A1294" t="str">
        <f>"000305443"</f>
        <v>000305443</v>
      </c>
      <c r="B1294" t="s">
        <v>4847</v>
      </c>
      <c r="D1294" t="s">
        <v>4848</v>
      </c>
      <c r="G1294" t="s">
        <v>4849</v>
      </c>
      <c r="I1294">
        <v>2060</v>
      </c>
    </row>
    <row r="1295" spans="1:9" x14ac:dyDescent="0.25">
      <c r="A1295" t="str">
        <f>"000372366"</f>
        <v>000372366</v>
      </c>
      <c r="B1295" t="s">
        <v>4850</v>
      </c>
      <c r="D1295" t="s">
        <v>4851</v>
      </c>
      <c r="G1295" t="s">
        <v>550</v>
      </c>
      <c r="H1295" t="s">
        <v>39</v>
      </c>
      <c r="I1295" t="s">
        <v>4852</v>
      </c>
    </row>
    <row r="1296" spans="1:9" x14ac:dyDescent="0.25">
      <c r="A1296" t="str">
        <f>"000387131"</f>
        <v>000387131</v>
      </c>
      <c r="B1296" t="s">
        <v>4853</v>
      </c>
      <c r="D1296" t="s">
        <v>4854</v>
      </c>
      <c r="G1296" t="s">
        <v>740</v>
      </c>
      <c r="H1296" t="s">
        <v>84</v>
      </c>
      <c r="I1296" t="s">
        <v>4855</v>
      </c>
    </row>
    <row r="1297" spans="1:9" x14ac:dyDescent="0.25">
      <c r="A1297" t="str">
        <f>"000386834"</f>
        <v>000386834</v>
      </c>
      <c r="B1297" t="s">
        <v>4856</v>
      </c>
      <c r="D1297" t="s">
        <v>4857</v>
      </c>
      <c r="G1297" t="s">
        <v>4858</v>
      </c>
      <c r="H1297" t="s">
        <v>39</v>
      </c>
      <c r="I1297" t="s">
        <v>4859</v>
      </c>
    </row>
    <row r="1298" spans="1:9" x14ac:dyDescent="0.25">
      <c r="A1298" t="str">
        <f>"000411239"</f>
        <v>000411239</v>
      </c>
      <c r="B1298" t="s">
        <v>4860</v>
      </c>
      <c r="D1298" t="s">
        <v>2794</v>
      </c>
      <c r="G1298" t="s">
        <v>64</v>
      </c>
      <c r="H1298" t="s">
        <v>39</v>
      </c>
      <c r="I1298" t="s">
        <v>4861</v>
      </c>
    </row>
    <row r="1299" spans="1:9" x14ac:dyDescent="0.25">
      <c r="A1299" t="str">
        <f>"000420881"</f>
        <v>000420881</v>
      </c>
      <c r="B1299" t="s">
        <v>4862</v>
      </c>
      <c r="D1299" t="s">
        <v>4863</v>
      </c>
      <c r="G1299" t="s">
        <v>64</v>
      </c>
      <c r="H1299" t="s">
        <v>39</v>
      </c>
      <c r="I1299" t="s">
        <v>4864</v>
      </c>
    </row>
    <row r="1300" spans="1:9" x14ac:dyDescent="0.25">
      <c r="A1300" t="str">
        <f>"000425654"</f>
        <v>000425654</v>
      </c>
      <c r="B1300" t="s">
        <v>4865</v>
      </c>
      <c r="D1300" t="s">
        <v>4866</v>
      </c>
      <c r="G1300" t="s">
        <v>4867</v>
      </c>
      <c r="H1300" t="s">
        <v>182</v>
      </c>
      <c r="I1300" t="s">
        <v>4868</v>
      </c>
    </row>
    <row r="1301" spans="1:9" x14ac:dyDescent="0.25">
      <c r="A1301" t="str">
        <f>"000434298"</f>
        <v>000434298</v>
      </c>
      <c r="B1301" t="s">
        <v>4869</v>
      </c>
      <c r="D1301" t="s">
        <v>4870</v>
      </c>
      <c r="G1301" t="s">
        <v>64</v>
      </c>
      <c r="H1301" t="s">
        <v>39</v>
      </c>
      <c r="I1301" t="s">
        <v>4871</v>
      </c>
    </row>
    <row r="1302" spans="1:9" x14ac:dyDescent="0.25">
      <c r="A1302" t="str">
        <f>"000430773"</f>
        <v>000430773</v>
      </c>
      <c r="B1302" t="s">
        <v>4872</v>
      </c>
      <c r="D1302" t="s">
        <v>4873</v>
      </c>
      <c r="E1302" t="s">
        <v>4874</v>
      </c>
      <c r="G1302" t="s">
        <v>64</v>
      </c>
      <c r="H1302" t="s">
        <v>39</v>
      </c>
      <c r="I1302" t="s">
        <v>4875</v>
      </c>
    </row>
    <row r="1303" spans="1:9" x14ac:dyDescent="0.25">
      <c r="A1303" t="str">
        <f>"000436352"</f>
        <v>000436352</v>
      </c>
      <c r="B1303" t="s">
        <v>4876</v>
      </c>
      <c r="D1303" t="s">
        <v>4877</v>
      </c>
      <c r="G1303" t="s">
        <v>4878</v>
      </c>
      <c r="H1303" t="s">
        <v>51</v>
      </c>
      <c r="I1303" t="s">
        <v>4879</v>
      </c>
    </row>
    <row r="1304" spans="1:9" x14ac:dyDescent="0.25">
      <c r="A1304" t="str">
        <f>"000439794"</f>
        <v>000439794</v>
      </c>
      <c r="B1304" t="s">
        <v>4880</v>
      </c>
      <c r="D1304" t="s">
        <v>4881</v>
      </c>
      <c r="G1304" t="s">
        <v>1567</v>
      </c>
      <c r="H1304" t="s">
        <v>1568</v>
      </c>
      <c r="I1304" t="s">
        <v>4882</v>
      </c>
    </row>
    <row r="1305" spans="1:9" x14ac:dyDescent="0.25">
      <c r="A1305" t="str">
        <f>"000443650"</f>
        <v>000443650</v>
      </c>
      <c r="B1305" t="s">
        <v>4883</v>
      </c>
      <c r="D1305" t="s">
        <v>4884</v>
      </c>
      <c r="E1305" t="s">
        <v>4885</v>
      </c>
      <c r="G1305" t="s">
        <v>3171</v>
      </c>
      <c r="H1305" t="s">
        <v>3172</v>
      </c>
      <c r="I1305" t="s">
        <v>4886</v>
      </c>
    </row>
    <row r="1306" spans="1:9" x14ac:dyDescent="0.25">
      <c r="A1306" t="str">
        <f>"000452750"</f>
        <v>000452750</v>
      </c>
      <c r="B1306" t="s">
        <v>4887</v>
      </c>
      <c r="D1306" t="s">
        <v>4888</v>
      </c>
      <c r="E1306" t="s">
        <v>4889</v>
      </c>
      <c r="G1306" t="s">
        <v>4890</v>
      </c>
      <c r="H1306" t="s">
        <v>221</v>
      </c>
      <c r="I1306" t="s">
        <v>4891</v>
      </c>
    </row>
    <row r="1307" spans="1:9" x14ac:dyDescent="0.25">
      <c r="A1307" t="str">
        <f>"000448587"</f>
        <v>000448587</v>
      </c>
      <c r="B1307" t="s">
        <v>4892</v>
      </c>
      <c r="D1307" t="s">
        <v>4893</v>
      </c>
      <c r="G1307" t="s">
        <v>4894</v>
      </c>
      <c r="H1307" t="s">
        <v>152</v>
      </c>
      <c r="I1307" t="s">
        <v>4895</v>
      </c>
    </row>
    <row r="1308" spans="1:9" x14ac:dyDescent="0.25">
      <c r="A1308" t="str">
        <f>"000448940"</f>
        <v>000448940</v>
      </c>
      <c r="B1308" t="s">
        <v>4896</v>
      </c>
      <c r="D1308" t="s">
        <v>4897</v>
      </c>
      <c r="E1308" t="s">
        <v>4898</v>
      </c>
      <c r="G1308" t="s">
        <v>170</v>
      </c>
      <c r="H1308" t="s">
        <v>171</v>
      </c>
      <c r="I1308" t="s">
        <v>4899</v>
      </c>
    </row>
    <row r="1309" spans="1:9" x14ac:dyDescent="0.25">
      <c r="A1309" t="str">
        <f>"000446483"</f>
        <v>000446483</v>
      </c>
      <c r="B1309" t="s">
        <v>4900</v>
      </c>
      <c r="D1309" t="s">
        <v>4901</v>
      </c>
      <c r="G1309" t="s">
        <v>2180</v>
      </c>
      <c r="H1309" t="s">
        <v>827</v>
      </c>
      <c r="I1309" t="s">
        <v>4902</v>
      </c>
    </row>
    <row r="1310" spans="1:9" x14ac:dyDescent="0.25">
      <c r="A1310" t="str">
        <f>"000453473"</f>
        <v>000453473</v>
      </c>
      <c r="B1310" t="s">
        <v>4903</v>
      </c>
      <c r="D1310" t="s">
        <v>4904</v>
      </c>
      <c r="G1310" t="s">
        <v>64</v>
      </c>
      <c r="H1310" t="s">
        <v>39</v>
      </c>
      <c r="I1310" t="s">
        <v>4905</v>
      </c>
    </row>
    <row r="1311" spans="1:9" x14ac:dyDescent="0.25">
      <c r="A1311" t="str">
        <f>"000466279"</f>
        <v>000466279</v>
      </c>
      <c r="B1311" t="s">
        <v>4906</v>
      </c>
      <c r="D1311" t="s">
        <v>4907</v>
      </c>
      <c r="G1311" t="s">
        <v>1070</v>
      </c>
      <c r="H1311" t="s">
        <v>84</v>
      </c>
      <c r="I1311" t="s">
        <v>4908</v>
      </c>
    </row>
    <row r="1312" spans="1:9" x14ac:dyDescent="0.25">
      <c r="A1312" t="str">
        <f>"000473906"</f>
        <v>000473906</v>
      </c>
      <c r="B1312" t="s">
        <v>4909</v>
      </c>
      <c r="D1312" t="s">
        <v>4910</v>
      </c>
      <c r="G1312" t="s">
        <v>4911</v>
      </c>
      <c r="H1312" t="s">
        <v>182</v>
      </c>
      <c r="I1312" t="s">
        <v>4912</v>
      </c>
    </row>
    <row r="1313" spans="1:9" x14ac:dyDescent="0.25">
      <c r="A1313" t="str">
        <f>"000453970"</f>
        <v>000453970</v>
      </c>
      <c r="B1313" t="s">
        <v>4913</v>
      </c>
      <c r="D1313" t="s">
        <v>4914</v>
      </c>
      <c r="E1313" t="s">
        <v>4915</v>
      </c>
      <c r="G1313" t="s">
        <v>130</v>
      </c>
      <c r="H1313" t="s">
        <v>131</v>
      </c>
      <c r="I1313" t="s">
        <v>4916</v>
      </c>
    </row>
    <row r="1314" spans="1:9" x14ac:dyDescent="0.25">
      <c r="A1314" t="str">
        <f>"000445327"</f>
        <v>000445327</v>
      </c>
      <c r="B1314" t="s">
        <v>4917</v>
      </c>
      <c r="G1314" t="s">
        <v>3801</v>
      </c>
      <c r="I1314" t="s">
        <v>4918</v>
      </c>
    </row>
    <row r="1315" spans="1:9" x14ac:dyDescent="0.25">
      <c r="A1315" t="str">
        <f>"000475348"</f>
        <v>000475348</v>
      </c>
      <c r="B1315" t="s">
        <v>4919</v>
      </c>
      <c r="D1315" t="s">
        <v>4920</v>
      </c>
      <c r="G1315" t="s">
        <v>3192</v>
      </c>
      <c r="H1315" t="s">
        <v>28</v>
      </c>
      <c r="I1315" t="s">
        <v>4921</v>
      </c>
    </row>
    <row r="1316" spans="1:9" x14ac:dyDescent="0.25">
      <c r="A1316" t="str">
        <f>"000475359"</f>
        <v>000475359</v>
      </c>
      <c r="B1316" t="s">
        <v>4922</v>
      </c>
      <c r="D1316" t="s">
        <v>4923</v>
      </c>
      <c r="E1316" t="s">
        <v>1646</v>
      </c>
      <c r="G1316" t="s">
        <v>1647</v>
      </c>
      <c r="H1316" t="s">
        <v>84</v>
      </c>
      <c r="I1316" t="s">
        <v>4924</v>
      </c>
    </row>
    <row r="1317" spans="1:9" x14ac:dyDescent="0.25">
      <c r="A1317" t="str">
        <f>"000627247"</f>
        <v>000627247</v>
      </c>
      <c r="B1317" t="s">
        <v>4925</v>
      </c>
      <c r="D1317" t="s">
        <v>4926</v>
      </c>
      <c r="E1317" t="s">
        <v>4927</v>
      </c>
      <c r="G1317" t="s">
        <v>38</v>
      </c>
      <c r="H1317" t="s">
        <v>39</v>
      </c>
      <c r="I1317" t="s">
        <v>4928</v>
      </c>
    </row>
    <row r="1318" spans="1:9" x14ac:dyDescent="0.25">
      <c r="A1318" t="str">
        <f>"000635437"</f>
        <v>000635437</v>
      </c>
      <c r="B1318" t="s">
        <v>4929</v>
      </c>
      <c r="D1318" t="s">
        <v>4930</v>
      </c>
      <c r="E1318" t="s">
        <v>4931</v>
      </c>
      <c r="G1318" t="s">
        <v>4932</v>
      </c>
      <c r="H1318" t="s">
        <v>477</v>
      </c>
      <c r="I1318" t="s">
        <v>4933</v>
      </c>
    </row>
    <row r="1319" spans="1:9" x14ac:dyDescent="0.25">
      <c r="A1319" t="str">
        <f>"000624341"</f>
        <v>000624341</v>
      </c>
      <c r="B1319" t="s">
        <v>4934</v>
      </c>
      <c r="D1319" t="s">
        <v>4935</v>
      </c>
      <c r="G1319" t="s">
        <v>130</v>
      </c>
      <c r="H1319" t="s">
        <v>131</v>
      </c>
      <c r="I1319" t="s">
        <v>4936</v>
      </c>
    </row>
    <row r="1320" spans="1:9" x14ac:dyDescent="0.25">
      <c r="A1320" t="str">
        <f>"000478600"</f>
        <v>000478600</v>
      </c>
      <c r="B1320" t="s">
        <v>4937</v>
      </c>
      <c r="D1320" t="s">
        <v>4938</v>
      </c>
      <c r="E1320" t="s">
        <v>4939</v>
      </c>
      <c r="G1320" t="s">
        <v>170</v>
      </c>
      <c r="H1320" t="s">
        <v>171</v>
      </c>
      <c r="I1320" t="s">
        <v>4940</v>
      </c>
    </row>
    <row r="1321" spans="1:9" x14ac:dyDescent="0.25">
      <c r="A1321" t="str">
        <f>"000497281"</f>
        <v>000497281</v>
      </c>
      <c r="B1321" t="s">
        <v>4941</v>
      </c>
      <c r="D1321" t="s">
        <v>4942</v>
      </c>
      <c r="G1321" t="s">
        <v>4943</v>
      </c>
      <c r="H1321" t="s">
        <v>477</v>
      </c>
      <c r="I1321" t="s">
        <v>4944</v>
      </c>
    </row>
    <row r="1322" spans="1:9" x14ac:dyDescent="0.25">
      <c r="A1322" t="str">
        <f>"000624923"</f>
        <v>000624923</v>
      </c>
      <c r="B1322" t="s">
        <v>4945</v>
      </c>
      <c r="D1322" t="s">
        <v>4946</v>
      </c>
      <c r="G1322" t="s">
        <v>64</v>
      </c>
      <c r="H1322" t="s">
        <v>39</v>
      </c>
      <c r="I1322" t="s">
        <v>4947</v>
      </c>
    </row>
    <row r="1323" spans="1:9" x14ac:dyDescent="0.25">
      <c r="A1323" t="str">
        <f>"000653100"</f>
        <v>000653100</v>
      </c>
      <c r="B1323" t="s">
        <v>4948</v>
      </c>
      <c r="D1323" t="s">
        <v>4949</v>
      </c>
      <c r="G1323" t="s">
        <v>4950</v>
      </c>
      <c r="H1323" t="s">
        <v>1118</v>
      </c>
      <c r="I1323" t="s">
        <v>4951</v>
      </c>
    </row>
    <row r="1324" spans="1:9" x14ac:dyDescent="0.25">
      <c r="A1324" t="str">
        <f>"000689056"</f>
        <v>000689056</v>
      </c>
      <c r="B1324" t="s">
        <v>4952</v>
      </c>
      <c r="D1324" t="s">
        <v>4953</v>
      </c>
      <c r="G1324" t="s">
        <v>4954</v>
      </c>
      <c r="H1324" t="s">
        <v>39</v>
      </c>
      <c r="I1324" t="s">
        <v>4955</v>
      </c>
    </row>
    <row r="1325" spans="1:9" x14ac:dyDescent="0.25">
      <c r="A1325" t="str">
        <f>"000692329"</f>
        <v>000692329</v>
      </c>
      <c r="B1325" t="s">
        <v>4956</v>
      </c>
      <c r="D1325" t="s">
        <v>4957</v>
      </c>
      <c r="G1325" t="s">
        <v>275</v>
      </c>
      <c r="H1325" t="s">
        <v>23</v>
      </c>
      <c r="I1325" t="s">
        <v>4958</v>
      </c>
    </row>
    <row r="1326" spans="1:9" x14ac:dyDescent="0.25">
      <c r="A1326" t="str">
        <f>"000694204"</f>
        <v>000694204</v>
      </c>
      <c r="B1326" t="s">
        <v>4959</v>
      </c>
      <c r="D1326" t="s">
        <v>4960</v>
      </c>
      <c r="E1326" t="s">
        <v>4961</v>
      </c>
      <c r="G1326" t="s">
        <v>64</v>
      </c>
      <c r="H1326" t="s">
        <v>39</v>
      </c>
      <c r="I1326" t="s">
        <v>4962</v>
      </c>
    </row>
    <row r="1327" spans="1:9" x14ac:dyDescent="0.25">
      <c r="A1327" t="str">
        <f>"000705163"</f>
        <v>000705163</v>
      </c>
      <c r="B1327" t="s">
        <v>4963</v>
      </c>
      <c r="D1327" t="s">
        <v>4964</v>
      </c>
      <c r="G1327" t="s">
        <v>808</v>
      </c>
      <c r="H1327" t="s">
        <v>809</v>
      </c>
      <c r="I1327" t="s">
        <v>4965</v>
      </c>
    </row>
    <row r="1328" spans="1:9" x14ac:dyDescent="0.25">
      <c r="A1328" t="str">
        <f>"000706379"</f>
        <v>000706379</v>
      </c>
      <c r="B1328" t="s">
        <v>4966</v>
      </c>
      <c r="D1328" t="s">
        <v>4967</v>
      </c>
      <c r="G1328" t="s">
        <v>4968</v>
      </c>
      <c r="H1328" t="s">
        <v>13</v>
      </c>
      <c r="I1328" t="s">
        <v>4969</v>
      </c>
    </row>
    <row r="1329" spans="1:9" x14ac:dyDescent="0.25">
      <c r="A1329" t="str">
        <f>"000714788"</f>
        <v>000714788</v>
      </c>
      <c r="B1329" t="s">
        <v>4970</v>
      </c>
      <c r="D1329" t="s">
        <v>4971</v>
      </c>
      <c r="G1329" t="s">
        <v>170</v>
      </c>
      <c r="H1329" t="s">
        <v>171</v>
      </c>
      <c r="I1329" t="s">
        <v>4972</v>
      </c>
    </row>
    <row r="1330" spans="1:9" x14ac:dyDescent="0.25">
      <c r="A1330" t="str">
        <f>"000723973"</f>
        <v>000723973</v>
      </c>
      <c r="B1330" t="s">
        <v>4973</v>
      </c>
      <c r="D1330" t="s">
        <v>4974</v>
      </c>
      <c r="E1330" t="s">
        <v>4975</v>
      </c>
      <c r="F1330" t="s">
        <v>4976</v>
      </c>
      <c r="G1330" t="s">
        <v>4977</v>
      </c>
      <c r="H1330" t="s">
        <v>263</v>
      </c>
      <c r="I1330" t="s">
        <v>4978</v>
      </c>
    </row>
    <row r="1331" spans="1:9" x14ac:dyDescent="0.25">
      <c r="A1331" t="str">
        <f>"000729560"</f>
        <v>000729560</v>
      </c>
      <c r="B1331" t="s">
        <v>4979</v>
      </c>
      <c r="D1331" t="s">
        <v>4980</v>
      </c>
      <c r="G1331" t="s">
        <v>4981</v>
      </c>
      <c r="H1331" t="s">
        <v>221</v>
      </c>
      <c r="I1331" t="s">
        <v>4982</v>
      </c>
    </row>
    <row r="1332" spans="1:9" x14ac:dyDescent="0.25">
      <c r="A1332" t="str">
        <f>"000735509"</f>
        <v>000735509</v>
      </c>
      <c r="B1332" t="s">
        <v>4983</v>
      </c>
      <c r="D1332" t="s">
        <v>4984</v>
      </c>
      <c r="G1332" t="s">
        <v>60</v>
      </c>
      <c r="H1332" t="s">
        <v>28</v>
      </c>
      <c r="I1332" t="s">
        <v>4985</v>
      </c>
    </row>
    <row r="1333" spans="1:9" x14ac:dyDescent="0.25">
      <c r="A1333" t="str">
        <f>"000726885"</f>
        <v>000726885</v>
      </c>
      <c r="B1333" t="s">
        <v>4986</v>
      </c>
      <c r="D1333" t="s">
        <v>4987</v>
      </c>
      <c r="G1333" t="s">
        <v>291</v>
      </c>
      <c r="H1333" t="s">
        <v>182</v>
      </c>
      <c r="I1333" t="s">
        <v>4988</v>
      </c>
    </row>
    <row r="1334" spans="1:9" x14ac:dyDescent="0.25">
      <c r="A1334" t="str">
        <f>"000742280"</f>
        <v>000742280</v>
      </c>
      <c r="B1334" t="s">
        <v>4989</v>
      </c>
      <c r="D1334" t="s">
        <v>4990</v>
      </c>
      <c r="E1334" t="s">
        <v>4991</v>
      </c>
      <c r="G1334" t="s">
        <v>64</v>
      </c>
      <c r="H1334" t="s">
        <v>39</v>
      </c>
      <c r="I1334" t="s">
        <v>4992</v>
      </c>
    </row>
    <row r="1335" spans="1:9" x14ac:dyDescent="0.25">
      <c r="A1335" t="str">
        <f>"000740513"</f>
        <v>000740513</v>
      </c>
      <c r="B1335" t="s">
        <v>4993</v>
      </c>
      <c r="D1335" t="s">
        <v>4994</v>
      </c>
      <c r="G1335" t="s">
        <v>64</v>
      </c>
      <c r="H1335" t="s">
        <v>39</v>
      </c>
      <c r="I1335" t="s">
        <v>4995</v>
      </c>
    </row>
    <row r="1336" spans="1:9" x14ac:dyDescent="0.25">
      <c r="A1336" t="str">
        <f>"000753481"</f>
        <v>000753481</v>
      </c>
      <c r="B1336" t="s">
        <v>4996</v>
      </c>
      <c r="D1336" t="s">
        <v>4997</v>
      </c>
      <c r="G1336" t="s">
        <v>1122</v>
      </c>
      <c r="H1336" t="s">
        <v>23</v>
      </c>
      <c r="I1336" t="s">
        <v>4998</v>
      </c>
    </row>
    <row r="1337" spans="1:9" x14ac:dyDescent="0.25">
      <c r="A1337" t="str">
        <f>"000746261"</f>
        <v>000746261</v>
      </c>
      <c r="B1337" t="s">
        <v>4999</v>
      </c>
      <c r="D1337" t="s">
        <v>5000</v>
      </c>
      <c r="G1337" t="s">
        <v>874</v>
      </c>
      <c r="H1337" t="s">
        <v>28</v>
      </c>
      <c r="I1337" t="s">
        <v>5001</v>
      </c>
    </row>
    <row r="1338" spans="1:9" x14ac:dyDescent="0.25">
      <c r="A1338" t="str">
        <f>"000747187"</f>
        <v>000747187</v>
      </c>
      <c r="B1338" t="s">
        <v>5002</v>
      </c>
      <c r="D1338" t="s">
        <v>5003</v>
      </c>
      <c r="G1338" t="s">
        <v>4173</v>
      </c>
      <c r="H1338" t="s">
        <v>120</v>
      </c>
      <c r="I1338" t="s">
        <v>5004</v>
      </c>
    </row>
    <row r="1339" spans="1:9" x14ac:dyDescent="0.25">
      <c r="A1339" t="str">
        <f>"000749536"</f>
        <v>000749536</v>
      </c>
      <c r="B1339" t="s">
        <v>5005</v>
      </c>
      <c r="D1339" t="s">
        <v>5006</v>
      </c>
      <c r="E1339" t="s">
        <v>5007</v>
      </c>
      <c r="G1339" t="s">
        <v>751</v>
      </c>
      <c r="H1339" t="s">
        <v>540</v>
      </c>
      <c r="I1339" t="s">
        <v>5008</v>
      </c>
    </row>
    <row r="1340" spans="1:9" x14ac:dyDescent="0.25">
      <c r="A1340" t="str">
        <f>"000752414"</f>
        <v>000752414</v>
      </c>
      <c r="B1340" t="s">
        <v>5009</v>
      </c>
      <c r="D1340" t="s">
        <v>5010</v>
      </c>
      <c r="G1340" t="s">
        <v>64</v>
      </c>
      <c r="H1340" t="s">
        <v>39</v>
      </c>
      <c r="I1340" t="s">
        <v>5011</v>
      </c>
    </row>
    <row r="1341" spans="1:9" x14ac:dyDescent="0.25">
      <c r="A1341" t="str">
        <f>"000793630"</f>
        <v>000793630</v>
      </c>
      <c r="B1341" t="s">
        <v>5012</v>
      </c>
      <c r="D1341" t="s">
        <v>5013</v>
      </c>
      <c r="G1341" t="s">
        <v>5014</v>
      </c>
      <c r="H1341" t="s">
        <v>28</v>
      </c>
      <c r="I1341" t="s">
        <v>5015</v>
      </c>
    </row>
    <row r="1342" spans="1:9" x14ac:dyDescent="0.25">
      <c r="A1342" t="str">
        <f>"000791357"</f>
        <v>000791357</v>
      </c>
      <c r="B1342" t="s">
        <v>5016</v>
      </c>
      <c r="D1342" t="s">
        <v>5017</v>
      </c>
      <c r="G1342" t="s">
        <v>1983</v>
      </c>
      <c r="H1342" t="s">
        <v>166</v>
      </c>
      <c r="I1342" t="s">
        <v>5018</v>
      </c>
    </row>
    <row r="1343" spans="1:9" x14ac:dyDescent="0.25">
      <c r="A1343" t="str">
        <f>"000818718"</f>
        <v>000818718</v>
      </c>
      <c r="B1343" t="s">
        <v>5019</v>
      </c>
      <c r="D1343" t="s">
        <v>5020</v>
      </c>
      <c r="G1343" t="s">
        <v>64</v>
      </c>
      <c r="H1343" t="s">
        <v>39</v>
      </c>
      <c r="I1343" t="s">
        <v>5021</v>
      </c>
    </row>
    <row r="1344" spans="1:9" x14ac:dyDescent="0.25">
      <c r="A1344" t="str">
        <f>"000785728"</f>
        <v>000785728</v>
      </c>
      <c r="B1344" t="s">
        <v>5022</v>
      </c>
      <c r="D1344" t="s">
        <v>5023</v>
      </c>
      <c r="G1344" t="s">
        <v>210</v>
      </c>
      <c r="H1344" t="s">
        <v>188</v>
      </c>
      <c r="I1344" t="s">
        <v>5024</v>
      </c>
    </row>
    <row r="1345" spans="1:9" x14ac:dyDescent="0.25">
      <c r="A1345" t="str">
        <f>"000823887"</f>
        <v>000823887</v>
      </c>
      <c r="B1345" t="s">
        <v>5025</v>
      </c>
      <c r="D1345" t="s">
        <v>5026</v>
      </c>
      <c r="G1345" t="s">
        <v>5027</v>
      </c>
      <c r="H1345" t="s">
        <v>296</v>
      </c>
      <c r="I1345" t="s">
        <v>5028</v>
      </c>
    </row>
    <row r="1346" spans="1:9" x14ac:dyDescent="0.25">
      <c r="A1346" t="str">
        <f>"000823273"</f>
        <v>000823273</v>
      </c>
      <c r="B1346" t="s">
        <v>5029</v>
      </c>
      <c r="D1346" t="s">
        <v>5030</v>
      </c>
      <c r="E1346" t="s">
        <v>5031</v>
      </c>
      <c r="G1346" t="s">
        <v>5032</v>
      </c>
      <c r="H1346" t="s">
        <v>1568</v>
      </c>
      <c r="I1346" t="s">
        <v>5033</v>
      </c>
    </row>
    <row r="1347" spans="1:9" x14ac:dyDescent="0.25">
      <c r="A1347" t="str">
        <f>"000823920"</f>
        <v>000823920</v>
      </c>
      <c r="B1347" t="s">
        <v>5034</v>
      </c>
      <c r="D1347" t="s">
        <v>5035</v>
      </c>
      <c r="G1347" t="s">
        <v>64</v>
      </c>
      <c r="H1347" t="s">
        <v>39</v>
      </c>
      <c r="I1347" t="s">
        <v>5036</v>
      </c>
    </row>
    <row r="1348" spans="1:9" x14ac:dyDescent="0.25">
      <c r="A1348" t="str">
        <f>"000782646"</f>
        <v>000782646</v>
      </c>
      <c r="B1348" t="s">
        <v>5037</v>
      </c>
      <c r="D1348" t="s">
        <v>5038</v>
      </c>
      <c r="G1348" t="s">
        <v>5039</v>
      </c>
      <c r="H1348" t="s">
        <v>28</v>
      </c>
      <c r="I1348" t="s">
        <v>5040</v>
      </c>
    </row>
    <row r="1349" spans="1:9" x14ac:dyDescent="0.25">
      <c r="A1349" t="str">
        <f>"000822456"</f>
        <v>000822456</v>
      </c>
      <c r="B1349" t="s">
        <v>5041</v>
      </c>
      <c r="D1349" t="s">
        <v>5042</v>
      </c>
      <c r="G1349" t="s">
        <v>64</v>
      </c>
      <c r="H1349" t="s">
        <v>39</v>
      </c>
      <c r="I1349" t="s">
        <v>5043</v>
      </c>
    </row>
    <row r="1350" spans="1:9" x14ac:dyDescent="0.25">
      <c r="A1350" t="str">
        <f>"000821627"</f>
        <v>000821627</v>
      </c>
      <c r="B1350" t="s">
        <v>5044</v>
      </c>
      <c r="D1350" t="s">
        <v>5045</v>
      </c>
      <c r="G1350" t="s">
        <v>64</v>
      </c>
      <c r="H1350" t="s">
        <v>39</v>
      </c>
      <c r="I1350" t="s">
        <v>5046</v>
      </c>
    </row>
    <row r="1351" spans="1:9" x14ac:dyDescent="0.25">
      <c r="A1351" t="str">
        <f>"000833999"</f>
        <v>000833999</v>
      </c>
      <c r="B1351" t="s">
        <v>5047</v>
      </c>
      <c r="D1351" t="s">
        <v>5048</v>
      </c>
      <c r="G1351" t="s">
        <v>965</v>
      </c>
      <c r="H1351" t="s">
        <v>39</v>
      </c>
      <c r="I1351" t="s">
        <v>5049</v>
      </c>
    </row>
    <row r="1352" spans="1:9" x14ac:dyDescent="0.25">
      <c r="A1352" t="str">
        <f>"000849261"</f>
        <v>000849261</v>
      </c>
      <c r="B1352" t="s">
        <v>5050</v>
      </c>
      <c r="D1352" t="s">
        <v>5051</v>
      </c>
      <c r="G1352" t="s">
        <v>136</v>
      </c>
      <c r="H1352" t="s">
        <v>28</v>
      </c>
      <c r="I1352" t="s">
        <v>5052</v>
      </c>
    </row>
    <row r="1353" spans="1:9" x14ac:dyDescent="0.25">
      <c r="A1353" t="str">
        <f>"000843103"</f>
        <v>000843103</v>
      </c>
      <c r="B1353" t="s">
        <v>5053</v>
      </c>
      <c r="D1353" t="s">
        <v>5054</v>
      </c>
      <c r="G1353" t="s">
        <v>64</v>
      </c>
      <c r="H1353" t="s">
        <v>39</v>
      </c>
      <c r="I1353" t="s">
        <v>5055</v>
      </c>
    </row>
    <row r="1354" spans="1:9" x14ac:dyDescent="0.25">
      <c r="A1354" t="str">
        <f>"000857155"</f>
        <v>000857155</v>
      </c>
      <c r="B1354" t="s">
        <v>5056</v>
      </c>
      <c r="D1354" t="s">
        <v>5057</v>
      </c>
      <c r="E1354" t="s">
        <v>5058</v>
      </c>
      <c r="G1354" t="s">
        <v>5059</v>
      </c>
      <c r="H1354" t="s">
        <v>152</v>
      </c>
      <c r="I1354" t="s">
        <v>5060</v>
      </c>
    </row>
    <row r="1355" spans="1:9" x14ac:dyDescent="0.25">
      <c r="A1355" t="str">
        <f>"000905235"</f>
        <v>000905235</v>
      </c>
      <c r="B1355" t="s">
        <v>5061</v>
      </c>
      <c r="D1355" t="s">
        <v>5062</v>
      </c>
      <c r="G1355" t="s">
        <v>64</v>
      </c>
      <c r="H1355" t="s">
        <v>39</v>
      </c>
      <c r="I1355" t="s">
        <v>5063</v>
      </c>
    </row>
    <row r="1356" spans="1:9" x14ac:dyDescent="0.25">
      <c r="A1356" t="str">
        <f>"000903903"</f>
        <v>000903903</v>
      </c>
      <c r="B1356" t="s">
        <v>5064</v>
      </c>
      <c r="D1356" t="s">
        <v>5065</v>
      </c>
      <c r="G1356" t="s">
        <v>291</v>
      </c>
      <c r="H1356" t="s">
        <v>182</v>
      </c>
      <c r="I1356" t="s">
        <v>5066</v>
      </c>
    </row>
    <row r="1357" spans="1:9" x14ac:dyDescent="0.25">
      <c r="A1357" t="str">
        <f>"000909614"</f>
        <v>000909614</v>
      </c>
      <c r="B1357" t="s">
        <v>5067</v>
      </c>
      <c r="D1357" t="s">
        <v>5068</v>
      </c>
      <c r="G1357" t="s">
        <v>60</v>
      </c>
      <c r="H1357" t="s">
        <v>28</v>
      </c>
      <c r="I1357" t="s">
        <v>5069</v>
      </c>
    </row>
    <row r="1358" spans="1:9" x14ac:dyDescent="0.25">
      <c r="A1358" t="str">
        <f>"000916416"</f>
        <v>000916416</v>
      </c>
      <c r="B1358" t="s">
        <v>5070</v>
      </c>
      <c r="D1358" t="s">
        <v>5071</v>
      </c>
      <c r="G1358" t="s">
        <v>2501</v>
      </c>
      <c r="H1358" t="s">
        <v>39</v>
      </c>
      <c r="I1358" t="s">
        <v>5072</v>
      </c>
    </row>
    <row r="1359" spans="1:9" x14ac:dyDescent="0.25">
      <c r="A1359" t="str">
        <f>"000911162"</f>
        <v>000911162</v>
      </c>
      <c r="B1359" t="s">
        <v>5073</v>
      </c>
      <c r="D1359" t="s">
        <v>435</v>
      </c>
      <c r="E1359" t="s">
        <v>5074</v>
      </c>
      <c r="G1359" t="s">
        <v>5075</v>
      </c>
      <c r="H1359" t="s">
        <v>13</v>
      </c>
      <c r="I1359" t="s">
        <v>5076</v>
      </c>
    </row>
    <row r="1360" spans="1:9" x14ac:dyDescent="0.25">
      <c r="A1360" t="str">
        <f>"000920442"</f>
        <v>000920442</v>
      </c>
      <c r="B1360" t="s">
        <v>5077</v>
      </c>
      <c r="D1360" t="s">
        <v>5078</v>
      </c>
      <c r="G1360" t="s">
        <v>3417</v>
      </c>
      <c r="H1360" t="s">
        <v>879</v>
      </c>
      <c r="I1360" t="s">
        <v>5079</v>
      </c>
    </row>
    <row r="1361" spans="1:9" x14ac:dyDescent="0.25">
      <c r="A1361" t="str">
        <f>"000933442"</f>
        <v>000933442</v>
      </c>
      <c r="B1361" t="s">
        <v>5080</v>
      </c>
      <c r="D1361" t="s">
        <v>5081</v>
      </c>
      <c r="G1361" t="s">
        <v>467</v>
      </c>
      <c r="H1361" t="s">
        <v>809</v>
      </c>
      <c r="I1361" t="s">
        <v>5082</v>
      </c>
    </row>
    <row r="1362" spans="1:9" x14ac:dyDescent="0.25">
      <c r="A1362" t="str">
        <f>"001044233"</f>
        <v>001044233</v>
      </c>
      <c r="B1362" t="s">
        <v>5083</v>
      </c>
      <c r="D1362" t="s">
        <v>5084</v>
      </c>
      <c r="G1362" t="s">
        <v>5085</v>
      </c>
      <c r="H1362" t="s">
        <v>51</v>
      </c>
      <c r="I1362" t="s">
        <v>5086</v>
      </c>
    </row>
    <row r="1363" spans="1:9" x14ac:dyDescent="0.25">
      <c r="A1363" t="str">
        <f>"001044534"</f>
        <v>001044534</v>
      </c>
      <c r="B1363" t="s">
        <v>5087</v>
      </c>
      <c r="D1363" t="s">
        <v>5088</v>
      </c>
      <c r="G1363" t="s">
        <v>3249</v>
      </c>
      <c r="H1363" t="s">
        <v>39</v>
      </c>
      <c r="I1363" t="s">
        <v>5089</v>
      </c>
    </row>
    <row r="1364" spans="1:9" x14ac:dyDescent="0.25">
      <c r="A1364" t="str">
        <f>"001000461"</f>
        <v>001000461</v>
      </c>
      <c r="B1364" t="s">
        <v>5090</v>
      </c>
      <c r="D1364" t="s">
        <v>5091</v>
      </c>
      <c r="E1364" t="s">
        <v>5092</v>
      </c>
      <c r="G1364" t="s">
        <v>678</v>
      </c>
      <c r="H1364" t="s">
        <v>28</v>
      </c>
      <c r="I1364" t="s">
        <v>5093</v>
      </c>
    </row>
    <row r="1365" spans="1:9" x14ac:dyDescent="0.25">
      <c r="A1365" t="str">
        <f>"001043741"</f>
        <v>001043741</v>
      </c>
      <c r="B1365" t="s">
        <v>5094</v>
      </c>
      <c r="D1365" t="s">
        <v>5095</v>
      </c>
      <c r="G1365" t="s">
        <v>267</v>
      </c>
      <c r="H1365" t="s">
        <v>39</v>
      </c>
      <c r="I1365" t="s">
        <v>5096</v>
      </c>
    </row>
    <row r="1366" spans="1:9" x14ac:dyDescent="0.25">
      <c r="A1366" t="str">
        <f>"001044496"</f>
        <v>001044496</v>
      </c>
      <c r="B1366" t="s">
        <v>5097</v>
      </c>
      <c r="D1366" t="s">
        <v>5098</v>
      </c>
      <c r="E1366" t="s">
        <v>5099</v>
      </c>
      <c r="G1366" t="s">
        <v>5100</v>
      </c>
      <c r="H1366" t="s">
        <v>182</v>
      </c>
      <c r="I1366" t="s">
        <v>5101</v>
      </c>
    </row>
    <row r="1367" spans="1:9" x14ac:dyDescent="0.25">
      <c r="A1367" t="str">
        <f>"001006519"</f>
        <v>001006519</v>
      </c>
      <c r="B1367" t="s">
        <v>5102</v>
      </c>
      <c r="D1367" t="s">
        <v>5103</v>
      </c>
      <c r="G1367" t="s">
        <v>5104</v>
      </c>
      <c r="H1367" t="s">
        <v>161</v>
      </c>
      <c r="I1367" t="s">
        <v>5105</v>
      </c>
    </row>
    <row r="1368" spans="1:9" x14ac:dyDescent="0.25">
      <c r="A1368" t="str">
        <f>"001040374"</f>
        <v>001040374</v>
      </c>
      <c r="B1368" t="s">
        <v>5106</v>
      </c>
      <c r="D1368" t="s">
        <v>5107</v>
      </c>
      <c r="G1368" t="s">
        <v>1386</v>
      </c>
      <c r="H1368" t="s">
        <v>221</v>
      </c>
      <c r="I1368" t="s">
        <v>5108</v>
      </c>
    </row>
    <row r="1369" spans="1:9" x14ac:dyDescent="0.25">
      <c r="A1369" t="str">
        <f>"001040409"</f>
        <v>001040409</v>
      </c>
      <c r="B1369" t="s">
        <v>5109</v>
      </c>
      <c r="D1369" t="s">
        <v>5110</v>
      </c>
      <c r="G1369" t="s">
        <v>38</v>
      </c>
      <c r="H1369" t="s">
        <v>39</v>
      </c>
      <c r="I1369" t="s">
        <v>5111</v>
      </c>
    </row>
    <row r="1370" spans="1:9" x14ac:dyDescent="0.25">
      <c r="A1370" t="str">
        <f>"001042048"</f>
        <v>001042048</v>
      </c>
      <c r="B1370" t="s">
        <v>5112</v>
      </c>
      <c r="D1370" t="s">
        <v>5113</v>
      </c>
      <c r="G1370" t="s">
        <v>1983</v>
      </c>
      <c r="H1370" t="s">
        <v>166</v>
      </c>
      <c r="I1370" t="s">
        <v>5114</v>
      </c>
    </row>
    <row r="1371" spans="1:9" x14ac:dyDescent="0.25">
      <c r="A1371" t="str">
        <f>"001043071"</f>
        <v>001043071</v>
      </c>
      <c r="B1371" t="s">
        <v>5115</v>
      </c>
      <c r="D1371" t="s">
        <v>5116</v>
      </c>
      <c r="G1371" t="s">
        <v>12</v>
      </c>
      <c r="H1371" t="s">
        <v>13</v>
      </c>
      <c r="I1371" t="s">
        <v>5117</v>
      </c>
    </row>
    <row r="1372" spans="1:9" x14ac:dyDescent="0.25">
      <c r="A1372" t="str">
        <f>"000957809"</f>
        <v>000957809</v>
      </c>
      <c r="B1372" t="s">
        <v>5118</v>
      </c>
      <c r="D1372" t="s">
        <v>5119</v>
      </c>
      <c r="E1372" t="s">
        <v>5120</v>
      </c>
      <c r="G1372" t="s">
        <v>5121</v>
      </c>
      <c r="H1372" t="s">
        <v>28</v>
      </c>
      <c r="I1372" t="s">
        <v>5122</v>
      </c>
    </row>
    <row r="1373" spans="1:9" x14ac:dyDescent="0.25">
      <c r="A1373" t="str">
        <f>"000984620"</f>
        <v>000984620</v>
      </c>
      <c r="B1373" t="s">
        <v>5123</v>
      </c>
      <c r="D1373" t="s">
        <v>5124</v>
      </c>
      <c r="G1373" t="s">
        <v>5125</v>
      </c>
      <c r="H1373" t="s">
        <v>166</v>
      </c>
      <c r="I1373" t="s">
        <v>5126</v>
      </c>
    </row>
    <row r="1374" spans="1:9" x14ac:dyDescent="0.25">
      <c r="A1374" t="str">
        <f>"001035579"</f>
        <v>001035579</v>
      </c>
      <c r="B1374" t="s">
        <v>5127</v>
      </c>
      <c r="D1374" t="s">
        <v>5128</v>
      </c>
      <c r="G1374" t="s">
        <v>5129</v>
      </c>
      <c r="H1374" t="s">
        <v>13</v>
      </c>
      <c r="I1374" t="s">
        <v>5130</v>
      </c>
    </row>
    <row r="1375" spans="1:9" x14ac:dyDescent="0.25">
      <c r="A1375" t="str">
        <f>"001027579"</f>
        <v>001027579</v>
      </c>
      <c r="B1375" t="s">
        <v>5131</v>
      </c>
      <c r="D1375" t="s">
        <v>5132</v>
      </c>
      <c r="G1375" t="s">
        <v>5133</v>
      </c>
      <c r="H1375" t="s">
        <v>51</v>
      </c>
      <c r="I1375" t="s">
        <v>5134</v>
      </c>
    </row>
    <row r="1376" spans="1:9" x14ac:dyDescent="0.25">
      <c r="A1376" t="str">
        <f>"000990333"</f>
        <v>000990333</v>
      </c>
      <c r="B1376" t="s">
        <v>5135</v>
      </c>
      <c r="D1376" t="s">
        <v>5136</v>
      </c>
      <c r="G1376" t="s">
        <v>291</v>
      </c>
      <c r="H1376" t="s">
        <v>182</v>
      </c>
      <c r="I1376" t="s">
        <v>5137</v>
      </c>
    </row>
    <row r="1377" spans="1:9" x14ac:dyDescent="0.25">
      <c r="A1377" t="str">
        <f>"000999943"</f>
        <v>000999943</v>
      </c>
      <c r="B1377" t="s">
        <v>5138</v>
      </c>
      <c r="D1377" t="s">
        <v>5139</v>
      </c>
      <c r="G1377" t="s">
        <v>481</v>
      </c>
      <c r="H1377" t="s">
        <v>1118</v>
      </c>
      <c r="I1377" t="s">
        <v>5140</v>
      </c>
    </row>
    <row r="1378" spans="1:9" x14ac:dyDescent="0.25">
      <c r="A1378" t="str">
        <f>"001023433"</f>
        <v>001023433</v>
      </c>
      <c r="B1378" t="s">
        <v>5141</v>
      </c>
      <c r="D1378" t="s">
        <v>5142</v>
      </c>
      <c r="G1378" t="s">
        <v>60</v>
      </c>
      <c r="H1378" t="s">
        <v>28</v>
      </c>
      <c r="I1378" t="s">
        <v>5143</v>
      </c>
    </row>
    <row r="1379" spans="1:9" x14ac:dyDescent="0.25">
      <c r="A1379" t="str">
        <f>"001023450"</f>
        <v>001023450</v>
      </c>
      <c r="B1379" t="s">
        <v>5144</v>
      </c>
      <c r="D1379" t="s">
        <v>5145</v>
      </c>
      <c r="G1379" t="s">
        <v>5146</v>
      </c>
      <c r="H1379" t="s">
        <v>39</v>
      </c>
      <c r="I1379" t="s">
        <v>5147</v>
      </c>
    </row>
    <row r="1380" spans="1:9" x14ac:dyDescent="0.25">
      <c r="A1380" t="str">
        <f>"001004270"</f>
        <v>001004270</v>
      </c>
      <c r="B1380" t="s">
        <v>5148</v>
      </c>
      <c r="D1380" t="s">
        <v>5149</v>
      </c>
      <c r="E1380" t="s">
        <v>5150</v>
      </c>
      <c r="F1380" t="s">
        <v>5151</v>
      </c>
      <c r="G1380" t="s">
        <v>5152</v>
      </c>
      <c r="H1380" t="s">
        <v>477</v>
      </c>
      <c r="I1380" t="s">
        <v>5153</v>
      </c>
    </row>
    <row r="1381" spans="1:9" x14ac:dyDescent="0.25">
      <c r="A1381" t="str">
        <f>"001016165"</f>
        <v>001016165</v>
      </c>
      <c r="B1381" t="s">
        <v>5154</v>
      </c>
      <c r="D1381" t="s">
        <v>5155</v>
      </c>
      <c r="E1381" t="s">
        <v>5156</v>
      </c>
      <c r="G1381" t="s">
        <v>5157</v>
      </c>
      <c r="H1381" t="s">
        <v>28</v>
      </c>
      <c r="I1381" t="s">
        <v>5158</v>
      </c>
    </row>
    <row r="1382" spans="1:9" x14ac:dyDescent="0.25">
      <c r="A1382" t="str">
        <f>"001017406"</f>
        <v>001017406</v>
      </c>
      <c r="B1382" t="s">
        <v>5159</v>
      </c>
      <c r="D1382" t="s">
        <v>5160</v>
      </c>
      <c r="E1382" t="s">
        <v>5161</v>
      </c>
      <c r="G1382" t="s">
        <v>64</v>
      </c>
      <c r="H1382" t="s">
        <v>39</v>
      </c>
      <c r="I1382" t="s">
        <v>5162</v>
      </c>
    </row>
    <row r="1383" spans="1:9" x14ac:dyDescent="0.25">
      <c r="A1383" t="str">
        <f>"001003378"</f>
        <v>001003378</v>
      </c>
      <c r="B1383" t="s">
        <v>5163</v>
      </c>
      <c r="D1383" t="s">
        <v>5164</v>
      </c>
      <c r="E1383" t="s">
        <v>2493</v>
      </c>
      <c r="G1383" t="s">
        <v>295</v>
      </c>
      <c r="H1383" t="s">
        <v>296</v>
      </c>
      <c r="I1383" t="s">
        <v>5165</v>
      </c>
    </row>
    <row r="1384" spans="1:9" x14ac:dyDescent="0.25">
      <c r="A1384" t="str">
        <f>"001012091"</f>
        <v>001012091</v>
      </c>
      <c r="B1384" t="s">
        <v>5166</v>
      </c>
      <c r="D1384" t="s">
        <v>5167</v>
      </c>
      <c r="G1384" t="s">
        <v>64</v>
      </c>
      <c r="H1384" t="s">
        <v>39</v>
      </c>
      <c r="I1384" t="s">
        <v>5168</v>
      </c>
    </row>
    <row r="1385" spans="1:9" x14ac:dyDescent="0.25">
      <c r="A1385" t="str">
        <f>"001014504"</f>
        <v>001014504</v>
      </c>
      <c r="B1385" t="s">
        <v>5169</v>
      </c>
      <c r="D1385" t="s">
        <v>5170</v>
      </c>
      <c r="G1385" t="s">
        <v>12</v>
      </c>
      <c r="H1385" t="s">
        <v>13</v>
      </c>
      <c r="I1385" t="s">
        <v>5171</v>
      </c>
    </row>
    <row r="1386" spans="1:9" x14ac:dyDescent="0.25">
      <c r="A1386" t="str">
        <f>"001006446"</f>
        <v>001006446</v>
      </c>
      <c r="B1386" t="s">
        <v>5172</v>
      </c>
      <c r="D1386" t="s">
        <v>5173</v>
      </c>
      <c r="E1386" t="s">
        <v>5174</v>
      </c>
      <c r="G1386" t="s">
        <v>5175</v>
      </c>
      <c r="H1386" t="s">
        <v>166</v>
      </c>
      <c r="I1386" t="s">
        <v>5176</v>
      </c>
    </row>
    <row r="1387" spans="1:9" x14ac:dyDescent="0.25">
      <c r="A1387" t="str">
        <f>"001001744"</f>
        <v>001001744</v>
      </c>
      <c r="B1387" t="s">
        <v>5177</v>
      </c>
      <c r="D1387" t="s">
        <v>5178</v>
      </c>
      <c r="G1387" t="s">
        <v>4173</v>
      </c>
      <c r="H1387" t="s">
        <v>51</v>
      </c>
      <c r="I1387" t="s">
        <v>5179</v>
      </c>
    </row>
    <row r="1388" spans="1:9" x14ac:dyDescent="0.25">
      <c r="A1388" t="str">
        <f>"001041317"</f>
        <v>001041317</v>
      </c>
      <c r="B1388" t="s">
        <v>5180</v>
      </c>
      <c r="D1388" t="s">
        <v>5181</v>
      </c>
      <c r="G1388" t="s">
        <v>5182</v>
      </c>
      <c r="H1388" t="s">
        <v>39</v>
      </c>
      <c r="I1388" t="s">
        <v>5183</v>
      </c>
    </row>
    <row r="1389" spans="1:9" x14ac:dyDescent="0.25">
      <c r="A1389" t="str">
        <f>"001045482"</f>
        <v>001045482</v>
      </c>
      <c r="B1389" t="s">
        <v>5184</v>
      </c>
      <c r="D1389" t="s">
        <v>5185</v>
      </c>
      <c r="G1389" t="s">
        <v>5186</v>
      </c>
      <c r="H1389" t="s">
        <v>28</v>
      </c>
      <c r="I1389" t="s">
        <v>5187</v>
      </c>
    </row>
    <row r="1390" spans="1:9" x14ac:dyDescent="0.25">
      <c r="A1390" t="str">
        <f>"001004049"</f>
        <v>001004049</v>
      </c>
      <c r="B1390" t="s">
        <v>5188</v>
      </c>
      <c r="D1390" t="s">
        <v>5189</v>
      </c>
      <c r="G1390" t="s">
        <v>678</v>
      </c>
      <c r="H1390" t="s">
        <v>28</v>
      </c>
      <c r="I1390" t="s">
        <v>5190</v>
      </c>
    </row>
    <row r="1391" spans="1:9" x14ac:dyDescent="0.25">
      <c r="A1391" t="str">
        <f>"000995938"</f>
        <v>000995938</v>
      </c>
      <c r="B1391" t="s">
        <v>5191</v>
      </c>
      <c r="D1391" t="s">
        <v>5192</v>
      </c>
      <c r="G1391" t="s">
        <v>5193</v>
      </c>
      <c r="H1391" t="s">
        <v>39</v>
      </c>
      <c r="I1391" t="s">
        <v>5194</v>
      </c>
    </row>
    <row r="1392" spans="1:9" x14ac:dyDescent="0.25">
      <c r="A1392" t="str">
        <f>"000981748"</f>
        <v>000981748</v>
      </c>
      <c r="B1392" t="s">
        <v>5195</v>
      </c>
      <c r="D1392" t="s">
        <v>5196</v>
      </c>
      <c r="G1392" t="s">
        <v>64</v>
      </c>
      <c r="H1392" t="s">
        <v>39</v>
      </c>
      <c r="I1392" t="s">
        <v>5197</v>
      </c>
    </row>
    <row r="1393" spans="1:9" x14ac:dyDescent="0.25">
      <c r="A1393" t="str">
        <f>"001052711"</f>
        <v>001052711</v>
      </c>
      <c r="B1393" t="s">
        <v>5198</v>
      </c>
      <c r="D1393" t="s">
        <v>5199</v>
      </c>
      <c r="G1393" t="s">
        <v>64</v>
      </c>
      <c r="H1393" t="s">
        <v>39</v>
      </c>
      <c r="I1393" t="s">
        <v>5200</v>
      </c>
    </row>
    <row r="1394" spans="1:9" x14ac:dyDescent="0.25">
      <c r="A1394" t="str">
        <f>"001032816"</f>
        <v>001032816</v>
      </c>
      <c r="B1394" t="s">
        <v>5201</v>
      </c>
      <c r="D1394" t="s">
        <v>5202</v>
      </c>
      <c r="G1394" t="s">
        <v>220</v>
      </c>
      <c r="H1394" t="s">
        <v>221</v>
      </c>
      <c r="I1394" t="s">
        <v>5203</v>
      </c>
    </row>
    <row r="1395" spans="1:9" x14ac:dyDescent="0.25">
      <c r="A1395" t="str">
        <f>"001043622"</f>
        <v>001043622</v>
      </c>
      <c r="B1395" t="s">
        <v>5204</v>
      </c>
      <c r="D1395" t="s">
        <v>5205</v>
      </c>
      <c r="E1395" t="s">
        <v>5206</v>
      </c>
      <c r="G1395" t="s">
        <v>507</v>
      </c>
      <c r="H1395" t="s">
        <v>39</v>
      </c>
      <c r="I1395" t="s">
        <v>5207</v>
      </c>
    </row>
    <row r="1396" spans="1:9" x14ac:dyDescent="0.25">
      <c r="A1396" t="str">
        <f>"001062058"</f>
        <v>001062058</v>
      </c>
      <c r="B1396" t="s">
        <v>5208</v>
      </c>
      <c r="D1396" t="s">
        <v>5209</v>
      </c>
      <c r="G1396" t="s">
        <v>5210</v>
      </c>
      <c r="H1396" t="s">
        <v>957</v>
      </c>
      <c r="I1396" t="s">
        <v>5211</v>
      </c>
    </row>
    <row r="1397" spans="1:9" x14ac:dyDescent="0.25">
      <c r="A1397" t="str">
        <f>"000993665"</f>
        <v>000993665</v>
      </c>
      <c r="B1397" t="s">
        <v>5212</v>
      </c>
      <c r="D1397" t="s">
        <v>5213</v>
      </c>
      <c r="E1397" t="s">
        <v>5214</v>
      </c>
      <c r="G1397" t="s">
        <v>5215</v>
      </c>
      <c r="H1397" t="s">
        <v>161</v>
      </c>
      <c r="I1397" t="s">
        <v>5216</v>
      </c>
    </row>
    <row r="1398" spans="1:9" x14ac:dyDescent="0.25">
      <c r="A1398" t="str">
        <f>"001016918"</f>
        <v>001016918</v>
      </c>
      <c r="B1398" t="s">
        <v>5217</v>
      </c>
      <c r="D1398" t="s">
        <v>5218</v>
      </c>
      <c r="G1398" t="s">
        <v>5219</v>
      </c>
      <c r="H1398" t="s">
        <v>51</v>
      </c>
      <c r="I1398" t="s">
        <v>5220</v>
      </c>
    </row>
    <row r="1399" spans="1:9" x14ac:dyDescent="0.25">
      <c r="A1399" t="str">
        <f>"001076171"</f>
        <v>001076171</v>
      </c>
      <c r="B1399" t="s">
        <v>5221</v>
      </c>
      <c r="D1399" t="s">
        <v>5222</v>
      </c>
      <c r="G1399" t="s">
        <v>64</v>
      </c>
      <c r="H1399" t="s">
        <v>39</v>
      </c>
      <c r="I1399" t="s">
        <v>5223</v>
      </c>
    </row>
    <row r="1400" spans="1:9" x14ac:dyDescent="0.25">
      <c r="A1400" t="str">
        <f>"001002952"</f>
        <v>001002952</v>
      </c>
      <c r="B1400" t="s">
        <v>5224</v>
      </c>
      <c r="D1400" t="s">
        <v>5225</v>
      </c>
      <c r="G1400" t="s">
        <v>64</v>
      </c>
      <c r="H1400" t="s">
        <v>39</v>
      </c>
      <c r="I1400" t="s">
        <v>5226</v>
      </c>
    </row>
    <row r="1401" spans="1:9" x14ac:dyDescent="0.25">
      <c r="A1401" t="str">
        <f>"001048801"</f>
        <v>001048801</v>
      </c>
      <c r="B1401" t="s">
        <v>5227</v>
      </c>
      <c r="D1401" t="s">
        <v>5228</v>
      </c>
      <c r="G1401" t="s">
        <v>1113</v>
      </c>
      <c r="H1401" t="s">
        <v>34</v>
      </c>
      <c r="I1401" t="s">
        <v>5229</v>
      </c>
    </row>
    <row r="1402" spans="1:9" x14ac:dyDescent="0.25">
      <c r="A1402" t="str">
        <f>"001048806"</f>
        <v>001048806</v>
      </c>
      <c r="B1402" t="s">
        <v>5230</v>
      </c>
      <c r="D1402" t="s">
        <v>5231</v>
      </c>
      <c r="G1402" t="s">
        <v>64</v>
      </c>
      <c r="H1402" t="s">
        <v>39</v>
      </c>
      <c r="I1402" t="s">
        <v>5232</v>
      </c>
    </row>
    <row r="1403" spans="1:9" x14ac:dyDescent="0.25">
      <c r="A1403" t="str">
        <f>"001028672"</f>
        <v>001028672</v>
      </c>
      <c r="B1403" t="s">
        <v>5233</v>
      </c>
      <c r="D1403" t="s">
        <v>5234</v>
      </c>
      <c r="G1403" t="s">
        <v>5235</v>
      </c>
      <c r="H1403" t="s">
        <v>13</v>
      </c>
      <c r="I1403" t="s">
        <v>5236</v>
      </c>
    </row>
    <row r="1404" spans="1:9" x14ac:dyDescent="0.25">
      <c r="A1404" t="str">
        <f>"001028673"</f>
        <v>001028673</v>
      </c>
      <c r="B1404" t="s">
        <v>5237</v>
      </c>
      <c r="D1404" t="s">
        <v>822</v>
      </c>
      <c r="G1404" t="s">
        <v>267</v>
      </c>
      <c r="H1404" t="s">
        <v>39</v>
      </c>
      <c r="I1404" t="s">
        <v>5238</v>
      </c>
    </row>
    <row r="1405" spans="1:9" x14ac:dyDescent="0.25">
      <c r="A1405" t="str">
        <f>"001052913"</f>
        <v>001052913</v>
      </c>
      <c r="B1405" t="s">
        <v>5239</v>
      </c>
      <c r="D1405" t="s">
        <v>5240</v>
      </c>
      <c r="G1405" t="s">
        <v>1187</v>
      </c>
      <c r="H1405" t="s">
        <v>166</v>
      </c>
      <c r="I1405" t="s">
        <v>5241</v>
      </c>
    </row>
    <row r="1406" spans="1:9" x14ac:dyDescent="0.25">
      <c r="A1406" t="str">
        <f>"001047135"</f>
        <v>001047135</v>
      </c>
      <c r="B1406" t="s">
        <v>5242</v>
      </c>
      <c r="D1406" t="s">
        <v>5243</v>
      </c>
      <c r="G1406" t="s">
        <v>64</v>
      </c>
      <c r="H1406" t="s">
        <v>39</v>
      </c>
      <c r="I1406" t="s">
        <v>5244</v>
      </c>
    </row>
    <row r="1407" spans="1:9" x14ac:dyDescent="0.25">
      <c r="A1407" t="str">
        <f>"000998965"</f>
        <v>000998965</v>
      </c>
      <c r="B1407" t="s">
        <v>5245</v>
      </c>
      <c r="D1407" t="s">
        <v>5246</v>
      </c>
      <c r="G1407" t="s">
        <v>3171</v>
      </c>
      <c r="H1407" t="s">
        <v>3172</v>
      </c>
      <c r="I1407" t="s">
        <v>5247</v>
      </c>
    </row>
    <row r="1408" spans="1:9" x14ac:dyDescent="0.25">
      <c r="A1408" t="str">
        <f>"001049106"</f>
        <v>001049106</v>
      </c>
      <c r="B1408" t="s">
        <v>5248</v>
      </c>
      <c r="D1408" t="s">
        <v>5249</v>
      </c>
      <c r="G1408" t="s">
        <v>136</v>
      </c>
      <c r="H1408" t="s">
        <v>28</v>
      </c>
      <c r="I1408" t="s">
        <v>5250</v>
      </c>
    </row>
    <row r="1409" spans="1:9" x14ac:dyDescent="0.25">
      <c r="A1409" t="str">
        <f>"001043958"</f>
        <v>001043958</v>
      </c>
      <c r="B1409" t="s">
        <v>5251</v>
      </c>
      <c r="D1409" t="s">
        <v>5252</v>
      </c>
      <c r="G1409" t="s">
        <v>5253</v>
      </c>
      <c r="H1409" t="s">
        <v>879</v>
      </c>
      <c r="I1409">
        <v>55345</v>
      </c>
    </row>
    <row r="1410" spans="1:9" x14ac:dyDescent="0.25">
      <c r="A1410" t="str">
        <f>"001038318"</f>
        <v>001038318</v>
      </c>
      <c r="B1410" t="s">
        <v>5254</v>
      </c>
      <c r="D1410" t="s">
        <v>5255</v>
      </c>
      <c r="G1410" t="s">
        <v>1305</v>
      </c>
      <c r="H1410" t="s">
        <v>131</v>
      </c>
      <c r="I1410" t="s">
        <v>5256</v>
      </c>
    </row>
    <row r="1411" spans="1:9" x14ac:dyDescent="0.25">
      <c r="A1411" t="str">
        <f>"001002803"</f>
        <v>001002803</v>
      </c>
      <c r="B1411" t="s">
        <v>5257</v>
      </c>
      <c r="D1411" t="s">
        <v>5258</v>
      </c>
      <c r="G1411" t="s">
        <v>5259</v>
      </c>
      <c r="H1411" t="s">
        <v>5260</v>
      </c>
      <c r="I1411" t="s">
        <v>5261</v>
      </c>
    </row>
    <row r="1412" spans="1:9" x14ac:dyDescent="0.25">
      <c r="A1412" t="str">
        <f>"000953476"</f>
        <v>000953476</v>
      </c>
      <c r="B1412" t="s">
        <v>5262</v>
      </c>
      <c r="D1412" t="s">
        <v>5263</v>
      </c>
      <c r="G1412" t="s">
        <v>1805</v>
      </c>
      <c r="H1412" t="s">
        <v>513</v>
      </c>
      <c r="I1412" t="s">
        <v>5264</v>
      </c>
    </row>
    <row r="1413" spans="1:9" x14ac:dyDescent="0.25">
      <c r="A1413" t="str">
        <f>"001030089"</f>
        <v>001030089</v>
      </c>
      <c r="B1413" t="s">
        <v>5265</v>
      </c>
      <c r="D1413" t="s">
        <v>5266</v>
      </c>
      <c r="G1413" t="s">
        <v>5267</v>
      </c>
      <c r="H1413" t="s">
        <v>70</v>
      </c>
      <c r="I1413" t="s">
        <v>5268</v>
      </c>
    </row>
    <row r="1414" spans="1:9" x14ac:dyDescent="0.25">
      <c r="A1414" t="str">
        <f>"001043574"</f>
        <v>001043574</v>
      </c>
      <c r="B1414" t="s">
        <v>5269</v>
      </c>
      <c r="D1414" t="s">
        <v>5270</v>
      </c>
      <c r="G1414" t="s">
        <v>64</v>
      </c>
      <c r="H1414" t="s">
        <v>39</v>
      </c>
      <c r="I1414" t="s">
        <v>5271</v>
      </c>
    </row>
    <row r="1415" spans="1:9" x14ac:dyDescent="0.25">
      <c r="A1415" t="str">
        <f>"001041389"</f>
        <v>001041389</v>
      </c>
      <c r="B1415" t="s">
        <v>5272</v>
      </c>
      <c r="D1415" t="s">
        <v>5273</v>
      </c>
      <c r="G1415" t="s">
        <v>5274</v>
      </c>
      <c r="H1415" t="s">
        <v>131</v>
      </c>
      <c r="I1415" t="s">
        <v>5275</v>
      </c>
    </row>
    <row r="1416" spans="1:9" x14ac:dyDescent="0.25">
      <c r="A1416" t="str">
        <f>"001011722"</f>
        <v>001011722</v>
      </c>
      <c r="B1416" t="s">
        <v>5276</v>
      </c>
      <c r="D1416" t="s">
        <v>5277</v>
      </c>
      <c r="E1416" t="s">
        <v>5278</v>
      </c>
      <c r="G1416" t="s">
        <v>1714</v>
      </c>
      <c r="I1416" t="s">
        <v>5279</v>
      </c>
    </row>
    <row r="1417" spans="1:9" x14ac:dyDescent="0.25">
      <c r="A1417" t="str">
        <f>"001033837"</f>
        <v>001033837</v>
      </c>
      <c r="B1417" t="s">
        <v>5280</v>
      </c>
      <c r="D1417" t="s">
        <v>5281</v>
      </c>
      <c r="G1417" t="s">
        <v>4858</v>
      </c>
      <c r="H1417" t="s">
        <v>39</v>
      </c>
      <c r="I1417">
        <v>63052</v>
      </c>
    </row>
    <row r="1418" spans="1:9" x14ac:dyDescent="0.25">
      <c r="A1418" t="str">
        <f>"001054951"</f>
        <v>001054951</v>
      </c>
      <c r="B1418" t="s">
        <v>5282</v>
      </c>
      <c r="D1418" t="s">
        <v>5283</v>
      </c>
      <c r="E1418" t="s">
        <v>5284</v>
      </c>
      <c r="G1418" t="s">
        <v>5285</v>
      </c>
      <c r="H1418" t="s">
        <v>957</v>
      </c>
      <c r="I1418" t="s">
        <v>5286</v>
      </c>
    </row>
    <row r="1419" spans="1:9" x14ac:dyDescent="0.25">
      <c r="A1419" t="str">
        <f>"001053331"</f>
        <v>001053331</v>
      </c>
      <c r="B1419" t="s">
        <v>5287</v>
      </c>
      <c r="D1419" t="s">
        <v>5288</v>
      </c>
      <c r="G1419" t="s">
        <v>5289</v>
      </c>
      <c r="H1419" t="s">
        <v>34</v>
      </c>
      <c r="I1419" t="s">
        <v>5290</v>
      </c>
    </row>
    <row r="1420" spans="1:9" x14ac:dyDescent="0.25">
      <c r="A1420" t="str">
        <f>"001005491"</f>
        <v>001005491</v>
      </c>
      <c r="B1420" t="s">
        <v>5291</v>
      </c>
      <c r="D1420" t="s">
        <v>5292</v>
      </c>
      <c r="E1420" t="s">
        <v>5293</v>
      </c>
      <c r="G1420" t="s">
        <v>33</v>
      </c>
      <c r="H1420" t="s">
        <v>34</v>
      </c>
      <c r="I1420" t="s">
        <v>5294</v>
      </c>
    </row>
    <row r="1421" spans="1:9" x14ac:dyDescent="0.25">
      <c r="A1421" t="str">
        <f>"001046781"</f>
        <v>001046781</v>
      </c>
      <c r="B1421" t="s">
        <v>5295</v>
      </c>
      <c r="D1421" t="s">
        <v>5296</v>
      </c>
      <c r="E1421" t="s">
        <v>5297</v>
      </c>
      <c r="F1421" t="s">
        <v>5298</v>
      </c>
      <c r="G1421" t="s">
        <v>3165</v>
      </c>
      <c r="H1421" t="s">
        <v>51</v>
      </c>
      <c r="I1421">
        <v>33161</v>
      </c>
    </row>
    <row r="1422" spans="1:9" x14ac:dyDescent="0.25">
      <c r="A1422" t="str">
        <f>"001045806"</f>
        <v>001045806</v>
      </c>
      <c r="B1422" t="s">
        <v>5299</v>
      </c>
      <c r="D1422" t="s">
        <v>5300</v>
      </c>
      <c r="G1422" t="s">
        <v>5301</v>
      </c>
      <c r="H1422" t="s">
        <v>221</v>
      </c>
      <c r="I1422" t="s">
        <v>5302</v>
      </c>
    </row>
    <row r="1423" spans="1:9" x14ac:dyDescent="0.25">
      <c r="A1423" t="str">
        <f>"001080760"</f>
        <v>001080760</v>
      </c>
      <c r="B1423" t="s">
        <v>5303</v>
      </c>
      <c r="D1423" t="s">
        <v>5304</v>
      </c>
      <c r="G1423" t="s">
        <v>1113</v>
      </c>
      <c r="H1423" t="s">
        <v>263</v>
      </c>
      <c r="I1423" t="s">
        <v>5305</v>
      </c>
    </row>
    <row r="1424" spans="1:9" x14ac:dyDescent="0.25">
      <c r="A1424" t="str">
        <f>"001049664"</f>
        <v>001049664</v>
      </c>
      <c r="B1424" t="s">
        <v>5306</v>
      </c>
      <c r="D1424" t="s">
        <v>5307</v>
      </c>
      <c r="E1424" t="s">
        <v>5308</v>
      </c>
      <c r="G1424" t="s">
        <v>267</v>
      </c>
      <c r="H1424" t="s">
        <v>39</v>
      </c>
      <c r="I1424" t="s">
        <v>5309</v>
      </c>
    </row>
    <row r="1425" spans="1:9" x14ac:dyDescent="0.25">
      <c r="A1425" t="str">
        <f>"001051539"</f>
        <v>001051539</v>
      </c>
      <c r="B1425" t="s">
        <v>5310</v>
      </c>
      <c r="D1425" t="s">
        <v>5311</v>
      </c>
      <c r="G1425" t="s">
        <v>291</v>
      </c>
      <c r="H1425" t="s">
        <v>182</v>
      </c>
      <c r="I1425" t="s">
        <v>5312</v>
      </c>
    </row>
    <row r="1426" spans="1:9" x14ac:dyDescent="0.25">
      <c r="A1426" t="str">
        <f>"001052409"</f>
        <v>001052409</v>
      </c>
      <c r="B1426" t="s">
        <v>5313</v>
      </c>
      <c r="D1426" t="s">
        <v>5314</v>
      </c>
      <c r="G1426" t="s">
        <v>476</v>
      </c>
      <c r="H1426" t="s">
        <v>477</v>
      </c>
      <c r="I1426" t="s">
        <v>5315</v>
      </c>
    </row>
    <row r="1427" spans="1:9" x14ac:dyDescent="0.25">
      <c r="A1427" t="str">
        <f>"001054750"</f>
        <v>001054750</v>
      </c>
      <c r="B1427" t="s">
        <v>5316</v>
      </c>
      <c r="D1427" t="s">
        <v>5317</v>
      </c>
      <c r="G1427" t="s">
        <v>64</v>
      </c>
      <c r="H1427" t="s">
        <v>39</v>
      </c>
      <c r="I1427" t="s">
        <v>5318</v>
      </c>
    </row>
    <row r="1428" spans="1:9" x14ac:dyDescent="0.25">
      <c r="A1428" t="str">
        <f>"001075718"</f>
        <v>001075718</v>
      </c>
      <c r="B1428" t="s">
        <v>5319</v>
      </c>
      <c r="D1428" t="s">
        <v>5320</v>
      </c>
      <c r="G1428" t="s">
        <v>5321</v>
      </c>
      <c r="I1428" t="s">
        <v>5322</v>
      </c>
    </row>
    <row r="1429" spans="1:9" x14ac:dyDescent="0.25">
      <c r="A1429" t="str">
        <f>"001072523"</f>
        <v>001072523</v>
      </c>
      <c r="B1429" t="s">
        <v>5323</v>
      </c>
      <c r="D1429" t="s">
        <v>5324</v>
      </c>
      <c r="E1429" t="s">
        <v>5325</v>
      </c>
      <c r="G1429" t="s">
        <v>5326</v>
      </c>
      <c r="H1429" t="s">
        <v>28</v>
      </c>
      <c r="I1429" t="s">
        <v>5327</v>
      </c>
    </row>
    <row r="1430" spans="1:9" x14ac:dyDescent="0.25">
      <c r="A1430" t="str">
        <f>"001075676"</f>
        <v>001075676</v>
      </c>
      <c r="B1430" t="s">
        <v>5328</v>
      </c>
      <c r="D1430" t="s">
        <v>5329</v>
      </c>
      <c r="G1430" t="s">
        <v>956</v>
      </c>
      <c r="H1430" t="s">
        <v>957</v>
      </c>
      <c r="I1430" t="s">
        <v>5330</v>
      </c>
    </row>
    <row r="1431" spans="1:9" x14ac:dyDescent="0.25">
      <c r="A1431" t="str">
        <f>"000800011"</f>
        <v>000800011</v>
      </c>
      <c r="B1431" t="s">
        <v>5331</v>
      </c>
      <c r="D1431" t="s">
        <v>5332</v>
      </c>
      <c r="G1431" t="s">
        <v>38</v>
      </c>
      <c r="H1431" t="s">
        <v>39</v>
      </c>
      <c r="I1431" t="s">
        <v>5333</v>
      </c>
    </row>
    <row r="1432" spans="1:9" x14ac:dyDescent="0.25">
      <c r="A1432" t="str">
        <f>"000800425"</f>
        <v>000800425</v>
      </c>
      <c r="B1432" t="s">
        <v>5334</v>
      </c>
      <c r="D1432" t="s">
        <v>5335</v>
      </c>
      <c r="E1432" t="s">
        <v>5336</v>
      </c>
      <c r="F1432" t="s">
        <v>5337</v>
      </c>
      <c r="G1432" t="s">
        <v>2048</v>
      </c>
      <c r="H1432" t="s">
        <v>23</v>
      </c>
      <c r="I1432" t="s">
        <v>5338</v>
      </c>
    </row>
    <row r="1433" spans="1:9" x14ac:dyDescent="0.25">
      <c r="A1433" t="str">
        <f>"000800118"</f>
        <v>000800118</v>
      </c>
      <c r="B1433" t="s">
        <v>5339</v>
      </c>
      <c r="D1433" t="s">
        <v>3545</v>
      </c>
      <c r="G1433" t="s">
        <v>3192</v>
      </c>
      <c r="H1433" t="s">
        <v>28</v>
      </c>
      <c r="I1433" t="s">
        <v>5340</v>
      </c>
    </row>
    <row r="1434" spans="1:9" x14ac:dyDescent="0.25">
      <c r="A1434" t="str">
        <f>"000800134"</f>
        <v>000800134</v>
      </c>
      <c r="B1434" t="s">
        <v>5341</v>
      </c>
      <c r="D1434" t="s">
        <v>5342</v>
      </c>
      <c r="G1434" t="s">
        <v>382</v>
      </c>
      <c r="H1434" t="s">
        <v>540</v>
      </c>
      <c r="I1434" t="s">
        <v>5343</v>
      </c>
    </row>
    <row r="1435" spans="1:9" x14ac:dyDescent="0.25">
      <c r="A1435" t="str">
        <f>"000629432"</f>
        <v>000629432</v>
      </c>
      <c r="B1435" t="s">
        <v>5344</v>
      </c>
      <c r="D1435" t="s">
        <v>5345</v>
      </c>
      <c r="E1435" t="s">
        <v>5346</v>
      </c>
      <c r="G1435" t="s">
        <v>2501</v>
      </c>
      <c r="H1435" t="s">
        <v>39</v>
      </c>
      <c r="I1435" t="s">
        <v>5347</v>
      </c>
    </row>
    <row r="1436" spans="1:9" x14ac:dyDescent="0.25">
      <c r="A1436" t="str">
        <f>"000800526"</f>
        <v>000800526</v>
      </c>
      <c r="B1436" t="s">
        <v>5348</v>
      </c>
      <c r="D1436" t="s">
        <v>5349</v>
      </c>
      <c r="G1436" t="s">
        <v>1957</v>
      </c>
      <c r="H1436" t="s">
        <v>1958</v>
      </c>
      <c r="I1436" t="s">
        <v>5350</v>
      </c>
    </row>
    <row r="1437" spans="1:9" x14ac:dyDescent="0.25">
      <c r="A1437" t="str">
        <f>"000629455"</f>
        <v>000629455</v>
      </c>
      <c r="B1437" t="s">
        <v>5351</v>
      </c>
      <c r="D1437" t="s">
        <v>5352</v>
      </c>
      <c r="E1437" t="s">
        <v>5353</v>
      </c>
      <c r="G1437" t="s">
        <v>2616</v>
      </c>
      <c r="H1437" t="s">
        <v>131</v>
      </c>
      <c r="I1437" t="s">
        <v>5354</v>
      </c>
    </row>
    <row r="1438" spans="1:9" x14ac:dyDescent="0.25">
      <c r="A1438" t="str">
        <f>"000826692"</f>
        <v>000826692</v>
      </c>
      <c r="B1438" t="s">
        <v>5355</v>
      </c>
      <c r="D1438" t="s">
        <v>5356</v>
      </c>
      <c r="E1438" t="s">
        <v>5357</v>
      </c>
      <c r="G1438" t="s">
        <v>38</v>
      </c>
      <c r="H1438" t="s">
        <v>39</v>
      </c>
      <c r="I1438" t="s">
        <v>5358</v>
      </c>
    </row>
    <row r="1439" spans="1:9" x14ac:dyDescent="0.25">
      <c r="A1439" t="str">
        <f>"000801628"</f>
        <v>000801628</v>
      </c>
      <c r="B1439" t="s">
        <v>5359</v>
      </c>
      <c r="D1439" t="s">
        <v>5360</v>
      </c>
      <c r="E1439" t="s">
        <v>5361</v>
      </c>
      <c r="G1439" t="s">
        <v>64</v>
      </c>
      <c r="H1439" t="s">
        <v>39</v>
      </c>
      <c r="I1439" t="s">
        <v>5362</v>
      </c>
    </row>
    <row r="1440" spans="1:9" x14ac:dyDescent="0.25">
      <c r="A1440" t="str">
        <f>"000629260"</f>
        <v>000629260</v>
      </c>
      <c r="B1440" t="s">
        <v>5363</v>
      </c>
      <c r="D1440" t="s">
        <v>5364</v>
      </c>
      <c r="G1440" t="s">
        <v>69</v>
      </c>
      <c r="H1440" t="s">
        <v>70</v>
      </c>
      <c r="I1440" t="s">
        <v>5365</v>
      </c>
    </row>
    <row r="1441" spans="1:9" x14ac:dyDescent="0.25">
      <c r="A1441" t="str">
        <f>"000800849"</f>
        <v>000800849</v>
      </c>
      <c r="B1441" t="s">
        <v>5366</v>
      </c>
      <c r="D1441" t="s">
        <v>5367</v>
      </c>
      <c r="G1441" t="s">
        <v>90</v>
      </c>
      <c r="H1441" t="s">
        <v>39</v>
      </c>
      <c r="I1441" t="s">
        <v>5368</v>
      </c>
    </row>
    <row r="1442" spans="1:9" x14ac:dyDescent="0.25">
      <c r="A1442" t="str">
        <f>"000801810"</f>
        <v>000801810</v>
      </c>
      <c r="B1442" t="s">
        <v>5369</v>
      </c>
      <c r="D1442" t="s">
        <v>5370</v>
      </c>
      <c r="G1442" t="s">
        <v>64</v>
      </c>
      <c r="H1442" t="s">
        <v>39</v>
      </c>
      <c r="I1442" t="s">
        <v>5371</v>
      </c>
    </row>
    <row r="1443" spans="1:9" x14ac:dyDescent="0.25">
      <c r="A1443" t="str">
        <f>"000628927"</f>
        <v>000628927</v>
      </c>
      <c r="B1443" t="s">
        <v>5372</v>
      </c>
      <c r="D1443" t="s">
        <v>5373</v>
      </c>
      <c r="G1443" t="s">
        <v>64</v>
      </c>
      <c r="H1443" t="s">
        <v>39</v>
      </c>
      <c r="I1443" t="s">
        <v>5374</v>
      </c>
    </row>
    <row r="1444" spans="1:9" x14ac:dyDescent="0.25">
      <c r="A1444" t="str">
        <f>"000800797"</f>
        <v>000800797</v>
      </c>
      <c r="B1444" t="s">
        <v>5375</v>
      </c>
      <c r="D1444" t="s">
        <v>5376</v>
      </c>
      <c r="E1444" t="s">
        <v>5377</v>
      </c>
      <c r="G1444" t="s">
        <v>1305</v>
      </c>
      <c r="H1444" t="s">
        <v>131</v>
      </c>
      <c r="I1444" t="s">
        <v>5378</v>
      </c>
    </row>
    <row r="1445" spans="1:9" x14ac:dyDescent="0.25">
      <c r="A1445" t="str">
        <f>"000801501"</f>
        <v>000801501</v>
      </c>
      <c r="B1445" t="s">
        <v>5379</v>
      </c>
      <c r="D1445" t="s">
        <v>5380</v>
      </c>
      <c r="E1445" t="s">
        <v>5381</v>
      </c>
      <c r="G1445" t="s">
        <v>295</v>
      </c>
      <c r="H1445" t="s">
        <v>296</v>
      </c>
      <c r="I1445" t="s">
        <v>5382</v>
      </c>
    </row>
    <row r="1446" spans="1:9" x14ac:dyDescent="0.25">
      <c r="A1446" t="str">
        <f>"000801469"</f>
        <v>000801469</v>
      </c>
      <c r="B1446" t="s">
        <v>5383</v>
      </c>
      <c r="D1446" t="s">
        <v>5384</v>
      </c>
      <c r="G1446" t="s">
        <v>5385</v>
      </c>
      <c r="H1446" t="s">
        <v>152</v>
      </c>
      <c r="I1446" t="s">
        <v>5386</v>
      </c>
    </row>
    <row r="1447" spans="1:9" x14ac:dyDescent="0.25">
      <c r="A1447" t="str">
        <f>"000800303"</f>
        <v>000800303</v>
      </c>
      <c r="B1447" t="s">
        <v>5387</v>
      </c>
      <c r="D1447" t="s">
        <v>498</v>
      </c>
      <c r="E1447" t="s">
        <v>5388</v>
      </c>
      <c r="F1447" t="s">
        <v>5389</v>
      </c>
      <c r="G1447" t="s">
        <v>64</v>
      </c>
      <c r="H1447" t="s">
        <v>39</v>
      </c>
      <c r="I1447" t="s">
        <v>5390</v>
      </c>
    </row>
    <row r="1448" spans="1:9" x14ac:dyDescent="0.25">
      <c r="A1448" t="str">
        <f>"000802331"</f>
        <v>000802331</v>
      </c>
      <c r="B1448" t="s">
        <v>5391</v>
      </c>
      <c r="D1448" t="s">
        <v>487</v>
      </c>
      <c r="G1448" t="s">
        <v>5392</v>
      </c>
      <c r="H1448" t="s">
        <v>51</v>
      </c>
      <c r="I1448" t="s">
        <v>5393</v>
      </c>
    </row>
    <row r="1449" spans="1:9" x14ac:dyDescent="0.25">
      <c r="A1449" t="str">
        <f>"000143870"</f>
        <v>000143870</v>
      </c>
      <c r="B1449" t="s">
        <v>5394</v>
      </c>
      <c r="D1449" t="s">
        <v>5395</v>
      </c>
      <c r="E1449" t="s">
        <v>5396</v>
      </c>
      <c r="G1449" t="s">
        <v>64</v>
      </c>
      <c r="H1449" t="s">
        <v>39</v>
      </c>
      <c r="I1449" t="s">
        <v>5397</v>
      </c>
    </row>
    <row r="1450" spans="1:9" x14ac:dyDescent="0.25">
      <c r="A1450" t="str">
        <f>"000143898"</f>
        <v>000143898</v>
      </c>
      <c r="B1450" t="s">
        <v>5398</v>
      </c>
      <c r="D1450" t="s">
        <v>5399</v>
      </c>
      <c r="E1450" t="s">
        <v>5400</v>
      </c>
      <c r="G1450" t="s">
        <v>5401</v>
      </c>
      <c r="H1450" t="s">
        <v>13</v>
      </c>
      <c r="I1450" t="s">
        <v>5402</v>
      </c>
    </row>
    <row r="1451" spans="1:9" x14ac:dyDescent="0.25">
      <c r="A1451" t="str">
        <f>"000580486"</f>
        <v>000580486</v>
      </c>
      <c r="B1451" t="s">
        <v>5403</v>
      </c>
      <c r="D1451" t="s">
        <v>5404</v>
      </c>
      <c r="G1451" t="s">
        <v>295</v>
      </c>
      <c r="H1451" t="s">
        <v>296</v>
      </c>
      <c r="I1451" t="s">
        <v>5405</v>
      </c>
    </row>
    <row r="1452" spans="1:9" x14ac:dyDescent="0.25">
      <c r="A1452" t="str">
        <f>"000861669"</f>
        <v>000861669</v>
      </c>
      <c r="B1452" t="s">
        <v>5406</v>
      </c>
      <c r="D1452" t="s">
        <v>5407</v>
      </c>
      <c r="E1452" t="s">
        <v>1356</v>
      </c>
      <c r="G1452" t="s">
        <v>64</v>
      </c>
      <c r="H1452" t="s">
        <v>39</v>
      </c>
      <c r="I1452" t="s">
        <v>5408</v>
      </c>
    </row>
    <row r="1453" spans="1:9" x14ac:dyDescent="0.25">
      <c r="A1453" t="str">
        <f>"000532456"</f>
        <v>000532456</v>
      </c>
      <c r="B1453" t="s">
        <v>5409</v>
      </c>
      <c r="D1453" t="s">
        <v>5410</v>
      </c>
      <c r="G1453" t="s">
        <v>3615</v>
      </c>
      <c r="H1453" t="s">
        <v>39</v>
      </c>
      <c r="I1453" t="s">
        <v>5411</v>
      </c>
    </row>
    <row r="1454" spans="1:9" x14ac:dyDescent="0.25">
      <c r="A1454" t="str">
        <f>"000534285"</f>
        <v>000534285</v>
      </c>
      <c r="B1454" t="s">
        <v>5412</v>
      </c>
      <c r="D1454" t="s">
        <v>3805</v>
      </c>
      <c r="E1454" t="s">
        <v>3806</v>
      </c>
      <c r="G1454" t="s">
        <v>295</v>
      </c>
      <c r="H1454" t="s">
        <v>296</v>
      </c>
      <c r="I1454" t="s">
        <v>5413</v>
      </c>
    </row>
    <row r="1455" spans="1:9" x14ac:dyDescent="0.25">
      <c r="A1455" t="str">
        <f>"000597248"</f>
        <v>000597248</v>
      </c>
      <c r="B1455" t="s">
        <v>5414</v>
      </c>
      <c r="D1455" t="s">
        <v>5415</v>
      </c>
      <c r="G1455" t="s">
        <v>64</v>
      </c>
      <c r="H1455" t="s">
        <v>39</v>
      </c>
      <c r="I1455" t="s">
        <v>5416</v>
      </c>
    </row>
    <row r="1456" spans="1:9" x14ac:dyDescent="0.25">
      <c r="A1456" t="str">
        <f>"000568470"</f>
        <v>000568470</v>
      </c>
      <c r="B1456" t="s">
        <v>5417</v>
      </c>
      <c r="D1456" t="s">
        <v>5418</v>
      </c>
      <c r="E1456" t="s">
        <v>5419</v>
      </c>
      <c r="G1456" t="s">
        <v>4400</v>
      </c>
      <c r="H1456" t="s">
        <v>263</v>
      </c>
      <c r="I1456">
        <v>37422</v>
      </c>
    </row>
    <row r="1457" spans="1:9" x14ac:dyDescent="0.25">
      <c r="A1457" t="str">
        <f>"000548560"</f>
        <v>000548560</v>
      </c>
      <c r="B1457" t="s">
        <v>5420</v>
      </c>
      <c r="D1457" t="s">
        <v>5421</v>
      </c>
      <c r="G1457" t="s">
        <v>90</v>
      </c>
      <c r="H1457" t="s">
        <v>39</v>
      </c>
      <c r="I1457" t="s">
        <v>5422</v>
      </c>
    </row>
    <row r="1458" spans="1:9" x14ac:dyDescent="0.25">
      <c r="A1458" t="str">
        <f>"000517175"</f>
        <v>000517175</v>
      </c>
      <c r="B1458" t="s">
        <v>5423</v>
      </c>
      <c r="D1458" t="s">
        <v>5424</v>
      </c>
      <c r="G1458" t="s">
        <v>64</v>
      </c>
      <c r="H1458" t="s">
        <v>39</v>
      </c>
      <c r="I1458" t="s">
        <v>5425</v>
      </c>
    </row>
    <row r="1459" spans="1:9" x14ac:dyDescent="0.25">
      <c r="A1459" t="str">
        <f>"000561500"</f>
        <v>000561500</v>
      </c>
      <c r="B1459" t="s">
        <v>5426</v>
      </c>
      <c r="D1459" t="s">
        <v>5427</v>
      </c>
      <c r="G1459" t="s">
        <v>64</v>
      </c>
      <c r="H1459" t="s">
        <v>39</v>
      </c>
      <c r="I1459" t="s">
        <v>5428</v>
      </c>
    </row>
    <row r="1460" spans="1:9" x14ac:dyDescent="0.25">
      <c r="A1460" t="str">
        <f>"000532558"</f>
        <v>000532558</v>
      </c>
      <c r="B1460" t="s">
        <v>5429</v>
      </c>
      <c r="D1460" t="s">
        <v>5430</v>
      </c>
      <c r="E1460" t="s">
        <v>5431</v>
      </c>
      <c r="G1460" t="s">
        <v>582</v>
      </c>
      <c r="H1460" t="s">
        <v>540</v>
      </c>
      <c r="I1460" t="s">
        <v>5432</v>
      </c>
    </row>
    <row r="1461" spans="1:9" x14ac:dyDescent="0.25">
      <c r="A1461" t="str">
        <f>"000011135"</f>
        <v>000011135</v>
      </c>
      <c r="B1461" t="s">
        <v>1327</v>
      </c>
      <c r="D1461" t="s">
        <v>5433</v>
      </c>
      <c r="E1461" t="s">
        <v>4166</v>
      </c>
      <c r="G1461" t="s">
        <v>64</v>
      </c>
      <c r="H1461" t="s">
        <v>39</v>
      </c>
      <c r="I1461" t="s">
        <v>5434</v>
      </c>
    </row>
    <row r="1462" spans="1:9" x14ac:dyDescent="0.25">
      <c r="A1462" t="str">
        <f>"000012046"</f>
        <v>000012046</v>
      </c>
      <c r="B1462" t="s">
        <v>5435</v>
      </c>
      <c r="D1462" t="s">
        <v>5436</v>
      </c>
      <c r="E1462" t="s">
        <v>5437</v>
      </c>
      <c r="G1462" t="s">
        <v>5438</v>
      </c>
      <c r="H1462" t="s">
        <v>858</v>
      </c>
      <c r="I1462" t="s">
        <v>5439</v>
      </c>
    </row>
    <row r="1463" spans="1:9" x14ac:dyDescent="0.25">
      <c r="A1463" t="str">
        <f>"000010392"</f>
        <v>000010392</v>
      </c>
      <c r="B1463" t="s">
        <v>5440</v>
      </c>
      <c r="D1463" t="s">
        <v>5441</v>
      </c>
      <c r="G1463" t="s">
        <v>38</v>
      </c>
      <c r="H1463" t="s">
        <v>39</v>
      </c>
      <c r="I1463" t="s">
        <v>5442</v>
      </c>
    </row>
    <row r="1464" spans="1:9" x14ac:dyDescent="0.25">
      <c r="A1464" t="str">
        <f>"000010525"</f>
        <v>000010525</v>
      </c>
      <c r="B1464" t="s">
        <v>5443</v>
      </c>
      <c r="D1464" t="s">
        <v>5444</v>
      </c>
      <c r="E1464" t="s">
        <v>5445</v>
      </c>
      <c r="G1464" t="s">
        <v>275</v>
      </c>
      <c r="H1464" t="s">
        <v>23</v>
      </c>
      <c r="I1464" t="s">
        <v>5446</v>
      </c>
    </row>
    <row r="1465" spans="1:9" x14ac:dyDescent="0.25">
      <c r="A1465" t="str">
        <f>"000010880"</f>
        <v>000010880</v>
      </c>
      <c r="B1465" t="s">
        <v>5447</v>
      </c>
      <c r="D1465" t="s">
        <v>5448</v>
      </c>
      <c r="G1465" t="s">
        <v>64</v>
      </c>
      <c r="H1465" t="s">
        <v>39</v>
      </c>
      <c r="I1465" t="s">
        <v>5449</v>
      </c>
    </row>
    <row r="1466" spans="1:9" x14ac:dyDescent="0.25">
      <c r="A1466" t="str">
        <f>"000012522"</f>
        <v>000012522</v>
      </c>
      <c r="B1466" t="s">
        <v>5450</v>
      </c>
      <c r="D1466" t="s">
        <v>5451</v>
      </c>
      <c r="E1466" t="s">
        <v>5452</v>
      </c>
      <c r="G1466" t="s">
        <v>5453</v>
      </c>
      <c r="H1466" t="s">
        <v>5454</v>
      </c>
      <c r="I1466" t="s">
        <v>4092</v>
      </c>
    </row>
    <row r="1467" spans="1:9" x14ac:dyDescent="0.25">
      <c r="A1467" t="str">
        <f>"000013714"</f>
        <v>000013714</v>
      </c>
      <c r="B1467" t="s">
        <v>5455</v>
      </c>
      <c r="D1467" t="s">
        <v>5456</v>
      </c>
      <c r="G1467" t="s">
        <v>64</v>
      </c>
      <c r="H1467" t="s">
        <v>39</v>
      </c>
      <c r="I1467" t="s">
        <v>5457</v>
      </c>
    </row>
    <row r="1468" spans="1:9" x14ac:dyDescent="0.25">
      <c r="A1468" t="str">
        <f>"000011993"</f>
        <v>000011993</v>
      </c>
      <c r="B1468" t="s">
        <v>5458</v>
      </c>
      <c r="D1468" t="s">
        <v>5459</v>
      </c>
      <c r="E1468" t="s">
        <v>5460</v>
      </c>
      <c r="G1468" t="s">
        <v>5461</v>
      </c>
      <c r="H1468" t="s">
        <v>13</v>
      </c>
      <c r="I1468" t="s">
        <v>5462</v>
      </c>
    </row>
    <row r="1469" spans="1:9" x14ac:dyDescent="0.25">
      <c r="A1469" t="str">
        <f>"000012469"</f>
        <v>000012469</v>
      </c>
      <c r="B1469" t="s">
        <v>5463</v>
      </c>
      <c r="D1469" t="s">
        <v>5464</v>
      </c>
      <c r="E1469" t="s">
        <v>5465</v>
      </c>
      <c r="G1469" t="s">
        <v>5466</v>
      </c>
      <c r="H1469" t="s">
        <v>131</v>
      </c>
      <c r="I1469" t="s">
        <v>5467</v>
      </c>
    </row>
    <row r="1470" spans="1:9" x14ac:dyDescent="0.25">
      <c r="A1470" t="str">
        <f>"000010631"</f>
        <v>000010631</v>
      </c>
      <c r="B1470" t="s">
        <v>5468</v>
      </c>
      <c r="D1470" t="s">
        <v>5469</v>
      </c>
      <c r="E1470" t="s">
        <v>5470</v>
      </c>
      <c r="G1470" t="s">
        <v>60</v>
      </c>
      <c r="H1470" t="s">
        <v>28</v>
      </c>
      <c r="I1470" t="s">
        <v>5471</v>
      </c>
    </row>
    <row r="1471" spans="1:9" x14ac:dyDescent="0.25">
      <c r="A1471" t="str">
        <f>"000010551"</f>
        <v>000010551</v>
      </c>
      <c r="B1471" t="s">
        <v>5472</v>
      </c>
      <c r="D1471" t="s">
        <v>5473</v>
      </c>
      <c r="E1471" t="s">
        <v>5474</v>
      </c>
      <c r="G1471" t="s">
        <v>5475</v>
      </c>
      <c r="H1471" t="s">
        <v>131</v>
      </c>
      <c r="I1471" t="s">
        <v>5476</v>
      </c>
    </row>
    <row r="1472" spans="1:9" x14ac:dyDescent="0.25">
      <c r="A1472" t="str">
        <f>"000011004"</f>
        <v>000011004</v>
      </c>
      <c r="B1472" t="s">
        <v>5477</v>
      </c>
      <c r="D1472" t="s">
        <v>5478</v>
      </c>
      <c r="G1472" t="s">
        <v>5479</v>
      </c>
      <c r="H1472" t="s">
        <v>1012</v>
      </c>
      <c r="I1472" t="s">
        <v>5480</v>
      </c>
    </row>
    <row r="1473" spans="1:9" x14ac:dyDescent="0.25">
      <c r="A1473" t="str">
        <f>"000010804"</f>
        <v>000010804</v>
      </c>
      <c r="B1473" t="s">
        <v>5481</v>
      </c>
      <c r="D1473" t="s">
        <v>5482</v>
      </c>
      <c r="E1473" t="s">
        <v>5483</v>
      </c>
      <c r="F1473" t="s">
        <v>5484</v>
      </c>
      <c r="G1473" t="s">
        <v>5485</v>
      </c>
      <c r="H1473" t="s">
        <v>28</v>
      </c>
      <c r="I1473" t="s">
        <v>5486</v>
      </c>
    </row>
    <row r="1474" spans="1:9" x14ac:dyDescent="0.25">
      <c r="A1474" t="str">
        <f>"000010235"</f>
        <v>000010235</v>
      </c>
      <c r="B1474" t="s">
        <v>5487</v>
      </c>
      <c r="D1474" t="s">
        <v>5488</v>
      </c>
      <c r="G1474" t="s">
        <v>1556</v>
      </c>
      <c r="H1474" t="s">
        <v>34</v>
      </c>
      <c r="I1474" t="s">
        <v>5489</v>
      </c>
    </row>
    <row r="1475" spans="1:9" x14ac:dyDescent="0.25">
      <c r="A1475" t="str">
        <f>"000013147"</f>
        <v>000013147</v>
      </c>
      <c r="B1475" t="s">
        <v>5490</v>
      </c>
      <c r="D1475" t="s">
        <v>5491</v>
      </c>
      <c r="G1475" t="s">
        <v>165</v>
      </c>
      <c r="H1475" t="s">
        <v>166</v>
      </c>
      <c r="I1475" t="s">
        <v>5492</v>
      </c>
    </row>
    <row r="1476" spans="1:9" x14ac:dyDescent="0.25">
      <c r="A1476" t="str">
        <f>"000012874"</f>
        <v>000012874</v>
      </c>
      <c r="B1476" t="s">
        <v>5493</v>
      </c>
      <c r="D1476" t="s">
        <v>5494</v>
      </c>
      <c r="G1476" t="s">
        <v>5495</v>
      </c>
      <c r="H1476" t="s">
        <v>34</v>
      </c>
      <c r="I1476" t="s">
        <v>5496</v>
      </c>
    </row>
    <row r="1477" spans="1:9" x14ac:dyDescent="0.25">
      <c r="A1477" t="str">
        <f>"000012423"</f>
        <v>000012423</v>
      </c>
      <c r="B1477" t="s">
        <v>5497</v>
      </c>
      <c r="D1477" t="s">
        <v>5498</v>
      </c>
      <c r="E1477" t="s">
        <v>5499</v>
      </c>
      <c r="G1477" t="s">
        <v>3801</v>
      </c>
      <c r="H1477" t="s">
        <v>546</v>
      </c>
      <c r="I1477" t="s">
        <v>5500</v>
      </c>
    </row>
    <row r="1478" spans="1:9" x14ac:dyDescent="0.25">
      <c r="A1478" t="str">
        <f>"000010213"</f>
        <v>000010213</v>
      </c>
      <c r="B1478" t="s">
        <v>5501</v>
      </c>
      <c r="D1478" t="s">
        <v>5502</v>
      </c>
      <c r="E1478" t="s">
        <v>5503</v>
      </c>
      <c r="G1478" t="s">
        <v>4579</v>
      </c>
      <c r="H1478" t="s">
        <v>1118</v>
      </c>
      <c r="I1478" t="s">
        <v>5504</v>
      </c>
    </row>
    <row r="1479" spans="1:9" x14ac:dyDescent="0.25">
      <c r="A1479" t="str">
        <f>"000011416"</f>
        <v>000011416</v>
      </c>
      <c r="B1479" t="s">
        <v>5505</v>
      </c>
      <c r="D1479" t="s">
        <v>5506</v>
      </c>
      <c r="G1479" t="s">
        <v>69</v>
      </c>
      <c r="H1479" t="s">
        <v>70</v>
      </c>
      <c r="I1479" t="s">
        <v>5507</v>
      </c>
    </row>
    <row r="1480" spans="1:9" x14ac:dyDescent="0.25">
      <c r="A1480" t="str">
        <f>"000010975"</f>
        <v>000010975</v>
      </c>
      <c r="B1480" t="s">
        <v>5508</v>
      </c>
      <c r="D1480" t="s">
        <v>5509</v>
      </c>
      <c r="G1480" t="s">
        <v>949</v>
      </c>
      <c r="H1480" t="s">
        <v>34</v>
      </c>
      <c r="I1480" t="s">
        <v>5510</v>
      </c>
    </row>
    <row r="1481" spans="1:9" x14ac:dyDescent="0.25">
      <c r="A1481" t="str">
        <f>"000012105"</f>
        <v>000012105</v>
      </c>
      <c r="B1481" t="s">
        <v>5511</v>
      </c>
      <c r="D1481" t="s">
        <v>5512</v>
      </c>
      <c r="G1481" t="s">
        <v>5513</v>
      </c>
      <c r="H1481" t="s">
        <v>296</v>
      </c>
      <c r="I1481" t="s">
        <v>5514</v>
      </c>
    </row>
    <row r="1482" spans="1:9" x14ac:dyDescent="0.25">
      <c r="A1482" t="str">
        <f>"000012099"</f>
        <v>000012099</v>
      </c>
      <c r="B1482" t="s">
        <v>5515</v>
      </c>
      <c r="D1482" t="s">
        <v>5516</v>
      </c>
      <c r="G1482" t="s">
        <v>1191</v>
      </c>
      <c r="H1482" t="s">
        <v>28</v>
      </c>
      <c r="I1482" t="s">
        <v>5517</v>
      </c>
    </row>
    <row r="1483" spans="1:9" x14ac:dyDescent="0.25">
      <c r="A1483" t="str">
        <f>"000013064"</f>
        <v>000013064</v>
      </c>
      <c r="B1483" t="s">
        <v>5518</v>
      </c>
      <c r="D1483" t="s">
        <v>5519</v>
      </c>
      <c r="G1483" t="s">
        <v>574</v>
      </c>
      <c r="H1483" t="s">
        <v>540</v>
      </c>
      <c r="I1483" t="s">
        <v>5520</v>
      </c>
    </row>
    <row r="1484" spans="1:9" x14ac:dyDescent="0.25">
      <c r="A1484" t="str">
        <f>"000649924"</f>
        <v>000649924</v>
      </c>
      <c r="B1484" t="s">
        <v>5521</v>
      </c>
      <c r="D1484" t="s">
        <v>5522</v>
      </c>
      <c r="E1484" t="s">
        <v>5523</v>
      </c>
      <c r="G1484" t="s">
        <v>64</v>
      </c>
      <c r="H1484" t="s">
        <v>39</v>
      </c>
      <c r="I1484" t="s">
        <v>5524</v>
      </c>
    </row>
    <row r="1485" spans="1:9" x14ac:dyDescent="0.25">
      <c r="A1485" t="str">
        <f>"000809359"</f>
        <v>000809359</v>
      </c>
      <c r="B1485" t="s">
        <v>5525</v>
      </c>
      <c r="D1485" t="s">
        <v>5526</v>
      </c>
      <c r="G1485" t="s">
        <v>60</v>
      </c>
      <c r="H1485" t="s">
        <v>28</v>
      </c>
      <c r="I1485" t="s">
        <v>5527</v>
      </c>
    </row>
    <row r="1486" spans="1:9" x14ac:dyDescent="0.25">
      <c r="A1486" t="str">
        <f>"000871089"</f>
        <v>000871089</v>
      </c>
      <c r="B1486" t="s">
        <v>5528</v>
      </c>
      <c r="D1486" t="s">
        <v>5529</v>
      </c>
      <c r="G1486" t="s">
        <v>5530</v>
      </c>
      <c r="H1486" t="s">
        <v>182</v>
      </c>
      <c r="I1486" t="s">
        <v>5531</v>
      </c>
    </row>
    <row r="1487" spans="1:9" x14ac:dyDescent="0.25">
      <c r="A1487" t="str">
        <f>"000057945"</f>
        <v>000057945</v>
      </c>
      <c r="B1487" t="s">
        <v>5532</v>
      </c>
      <c r="D1487" t="s">
        <v>5533</v>
      </c>
      <c r="G1487" t="s">
        <v>60</v>
      </c>
      <c r="H1487" t="s">
        <v>28</v>
      </c>
      <c r="I1487" t="s">
        <v>5534</v>
      </c>
    </row>
    <row r="1488" spans="1:9" x14ac:dyDescent="0.25">
      <c r="A1488" t="str">
        <f>"000856279"</f>
        <v>000856279</v>
      </c>
      <c r="B1488" t="s">
        <v>5535</v>
      </c>
      <c r="D1488" t="s">
        <v>5536</v>
      </c>
      <c r="E1488" t="s">
        <v>5537</v>
      </c>
      <c r="G1488" t="s">
        <v>711</v>
      </c>
      <c r="H1488" t="s">
        <v>188</v>
      </c>
      <c r="I1488" t="s">
        <v>5538</v>
      </c>
    </row>
    <row r="1489" spans="1:9" x14ac:dyDescent="0.25">
      <c r="A1489" t="str">
        <f>"000886064"</f>
        <v>000886064</v>
      </c>
      <c r="B1489" t="s">
        <v>5539</v>
      </c>
      <c r="D1489" t="s">
        <v>5540</v>
      </c>
      <c r="E1489" t="s">
        <v>5541</v>
      </c>
      <c r="G1489" t="s">
        <v>5542</v>
      </c>
      <c r="H1489" t="s">
        <v>28</v>
      </c>
      <c r="I1489" t="s">
        <v>5543</v>
      </c>
    </row>
    <row r="1490" spans="1:9" x14ac:dyDescent="0.25">
      <c r="A1490" t="str">
        <f>"000836136"</f>
        <v>000836136</v>
      </c>
      <c r="B1490" t="s">
        <v>5544</v>
      </c>
      <c r="D1490" t="s">
        <v>5545</v>
      </c>
      <c r="G1490" t="s">
        <v>291</v>
      </c>
      <c r="H1490" t="s">
        <v>182</v>
      </c>
      <c r="I1490" t="s">
        <v>5546</v>
      </c>
    </row>
    <row r="1491" spans="1:9" x14ac:dyDescent="0.25">
      <c r="A1491" t="str">
        <f>"000832826"</f>
        <v>000832826</v>
      </c>
      <c r="B1491" t="s">
        <v>5547</v>
      </c>
      <c r="D1491" t="s">
        <v>5548</v>
      </c>
      <c r="G1491" t="s">
        <v>170</v>
      </c>
      <c r="H1491" t="s">
        <v>171</v>
      </c>
      <c r="I1491" t="s">
        <v>5549</v>
      </c>
    </row>
    <row r="1492" spans="1:9" x14ac:dyDescent="0.25">
      <c r="A1492" t="str">
        <f>"000809578"</f>
        <v>000809578</v>
      </c>
      <c r="B1492" t="s">
        <v>5550</v>
      </c>
      <c r="D1492" t="s">
        <v>5551</v>
      </c>
      <c r="G1492" t="s">
        <v>214</v>
      </c>
      <c r="H1492" t="s">
        <v>120</v>
      </c>
      <c r="I1492" t="s">
        <v>5552</v>
      </c>
    </row>
    <row r="1493" spans="1:9" x14ac:dyDescent="0.25">
      <c r="A1493" t="str">
        <f>"000809086"</f>
        <v>000809086</v>
      </c>
      <c r="B1493" t="s">
        <v>5553</v>
      </c>
      <c r="D1493" t="s">
        <v>5554</v>
      </c>
      <c r="E1493" t="s">
        <v>5555</v>
      </c>
      <c r="G1493" t="s">
        <v>1469</v>
      </c>
      <c r="H1493" t="s">
        <v>39</v>
      </c>
      <c r="I1493">
        <v>64093</v>
      </c>
    </row>
    <row r="1494" spans="1:9" x14ac:dyDescent="0.25">
      <c r="A1494" t="str">
        <f>"000858214"</f>
        <v>000858214</v>
      </c>
      <c r="B1494" t="s">
        <v>5556</v>
      </c>
      <c r="D1494" t="s">
        <v>5557</v>
      </c>
      <c r="E1494" t="s">
        <v>5558</v>
      </c>
      <c r="G1494" t="s">
        <v>5559</v>
      </c>
      <c r="H1494" t="s">
        <v>100</v>
      </c>
      <c r="I1494" t="s">
        <v>5560</v>
      </c>
    </row>
    <row r="1495" spans="1:9" x14ac:dyDescent="0.25">
      <c r="A1495" t="str">
        <f>"000847226"</f>
        <v>000847226</v>
      </c>
      <c r="B1495" t="s">
        <v>5561</v>
      </c>
      <c r="D1495" t="s">
        <v>5562</v>
      </c>
      <c r="G1495" t="s">
        <v>64</v>
      </c>
      <c r="H1495" t="s">
        <v>39</v>
      </c>
      <c r="I1495" t="s">
        <v>5563</v>
      </c>
    </row>
    <row r="1496" spans="1:9" x14ac:dyDescent="0.25">
      <c r="A1496" t="str">
        <f>"000803325"</f>
        <v>000803325</v>
      </c>
      <c r="B1496" t="s">
        <v>5564</v>
      </c>
      <c r="D1496" t="s">
        <v>5565</v>
      </c>
      <c r="G1496" t="s">
        <v>5215</v>
      </c>
      <c r="H1496" t="s">
        <v>161</v>
      </c>
      <c r="I1496" t="s">
        <v>5566</v>
      </c>
    </row>
    <row r="1497" spans="1:9" x14ac:dyDescent="0.25">
      <c r="A1497" t="str">
        <f>"000809120"</f>
        <v>000809120</v>
      </c>
      <c r="B1497" t="s">
        <v>5567</v>
      </c>
      <c r="D1497" t="s">
        <v>5568</v>
      </c>
      <c r="G1497" t="s">
        <v>64</v>
      </c>
      <c r="H1497" t="s">
        <v>39</v>
      </c>
      <c r="I1497" t="s">
        <v>5569</v>
      </c>
    </row>
    <row r="1498" spans="1:9" x14ac:dyDescent="0.25">
      <c r="A1498" t="str">
        <f>"000812777"</f>
        <v>000812777</v>
      </c>
      <c r="B1498" t="s">
        <v>5570</v>
      </c>
      <c r="D1498" t="s">
        <v>5571</v>
      </c>
      <c r="G1498" t="s">
        <v>136</v>
      </c>
      <c r="H1498" t="s">
        <v>28</v>
      </c>
      <c r="I1498" t="s">
        <v>5572</v>
      </c>
    </row>
    <row r="1499" spans="1:9" x14ac:dyDescent="0.25">
      <c r="A1499" t="str">
        <f>"000819221"</f>
        <v>000819221</v>
      </c>
      <c r="B1499" t="s">
        <v>5573</v>
      </c>
      <c r="D1499" t="s">
        <v>5574</v>
      </c>
      <c r="E1499" t="s">
        <v>5575</v>
      </c>
      <c r="G1499" t="s">
        <v>64</v>
      </c>
      <c r="H1499" t="s">
        <v>39</v>
      </c>
      <c r="I1499" t="s">
        <v>5576</v>
      </c>
    </row>
    <row r="1500" spans="1:9" x14ac:dyDescent="0.25">
      <c r="A1500" t="str">
        <f>"000813816"</f>
        <v>000813816</v>
      </c>
      <c r="B1500" t="s">
        <v>5577</v>
      </c>
      <c r="D1500" t="s">
        <v>5578</v>
      </c>
      <c r="E1500" t="s">
        <v>5579</v>
      </c>
      <c r="G1500" t="s">
        <v>1051</v>
      </c>
      <c r="H1500" t="s">
        <v>28</v>
      </c>
      <c r="I1500" t="s">
        <v>5580</v>
      </c>
    </row>
    <row r="1501" spans="1:9" x14ac:dyDescent="0.25">
      <c r="A1501" t="str">
        <f>"000855885"</f>
        <v>000855885</v>
      </c>
      <c r="B1501" t="s">
        <v>5581</v>
      </c>
      <c r="D1501" t="s">
        <v>5582</v>
      </c>
      <c r="G1501" t="s">
        <v>5583</v>
      </c>
      <c r="H1501" t="s">
        <v>28</v>
      </c>
      <c r="I1501" t="s">
        <v>5584</v>
      </c>
    </row>
    <row r="1502" spans="1:9" x14ac:dyDescent="0.25">
      <c r="A1502" t="str">
        <f>"000855482"</f>
        <v>000855482</v>
      </c>
      <c r="B1502" t="s">
        <v>5585</v>
      </c>
      <c r="D1502" t="s">
        <v>5586</v>
      </c>
      <c r="E1502" t="s">
        <v>5587</v>
      </c>
      <c r="G1502" t="s">
        <v>64</v>
      </c>
      <c r="H1502" t="s">
        <v>39</v>
      </c>
      <c r="I1502" t="s">
        <v>5588</v>
      </c>
    </row>
    <row r="1503" spans="1:9" x14ac:dyDescent="0.25">
      <c r="A1503" t="str">
        <f>"000917431"</f>
        <v>000917431</v>
      </c>
      <c r="B1503" t="s">
        <v>5589</v>
      </c>
      <c r="D1503" t="s">
        <v>5590</v>
      </c>
      <c r="G1503" t="s">
        <v>267</v>
      </c>
      <c r="H1503" t="s">
        <v>39</v>
      </c>
      <c r="I1503" t="s">
        <v>5591</v>
      </c>
    </row>
    <row r="1504" spans="1:9" x14ac:dyDescent="0.25">
      <c r="A1504" t="str">
        <f>"000881887"</f>
        <v>000881887</v>
      </c>
      <c r="B1504" t="s">
        <v>5592</v>
      </c>
      <c r="D1504" t="s">
        <v>5593</v>
      </c>
      <c r="G1504" t="s">
        <v>64</v>
      </c>
      <c r="H1504" t="s">
        <v>39</v>
      </c>
      <c r="I1504" t="s">
        <v>5594</v>
      </c>
    </row>
    <row r="1505" spans="1:9" x14ac:dyDescent="0.25">
      <c r="A1505" t="str">
        <f>"000140939"</f>
        <v>000140939</v>
      </c>
      <c r="B1505" t="s">
        <v>5595</v>
      </c>
      <c r="D1505" t="s">
        <v>5596</v>
      </c>
      <c r="G1505" t="s">
        <v>3111</v>
      </c>
      <c r="H1505" t="s">
        <v>365</v>
      </c>
      <c r="I1505" t="s">
        <v>5597</v>
      </c>
    </row>
    <row r="1506" spans="1:9" x14ac:dyDescent="0.25">
      <c r="A1506" t="str">
        <f>"000933965"</f>
        <v>000933965</v>
      </c>
      <c r="B1506" t="s">
        <v>5598</v>
      </c>
      <c r="D1506" t="s">
        <v>5599</v>
      </c>
      <c r="E1506" t="s">
        <v>5600</v>
      </c>
      <c r="G1506" t="s">
        <v>5601</v>
      </c>
      <c r="H1506" t="s">
        <v>28</v>
      </c>
      <c r="I1506" t="s">
        <v>5602</v>
      </c>
    </row>
    <row r="1507" spans="1:9" x14ac:dyDescent="0.25">
      <c r="A1507" t="str">
        <f>"000219009"</f>
        <v>000219009</v>
      </c>
      <c r="B1507" t="s">
        <v>5603</v>
      </c>
      <c r="D1507" t="s">
        <v>538</v>
      </c>
      <c r="G1507" t="s">
        <v>539</v>
      </c>
      <c r="H1507" t="s">
        <v>540</v>
      </c>
      <c r="I1507" t="s">
        <v>5604</v>
      </c>
    </row>
    <row r="1508" spans="1:9" x14ac:dyDescent="0.25">
      <c r="A1508" t="str">
        <f>"000185168"</f>
        <v>000185168</v>
      </c>
      <c r="B1508" t="s">
        <v>5605</v>
      </c>
      <c r="D1508" t="s">
        <v>5606</v>
      </c>
      <c r="E1508" t="s">
        <v>5607</v>
      </c>
      <c r="F1508" t="s">
        <v>5608</v>
      </c>
      <c r="G1508" t="s">
        <v>2444</v>
      </c>
      <c r="H1508" t="s">
        <v>263</v>
      </c>
      <c r="I1508" t="s">
        <v>5609</v>
      </c>
    </row>
    <row r="1509" spans="1:9" x14ac:dyDescent="0.25">
      <c r="A1509" t="str">
        <f>"000874213"</f>
        <v>000874213</v>
      </c>
      <c r="B1509" t="s">
        <v>5610</v>
      </c>
      <c r="D1509" t="s">
        <v>5611</v>
      </c>
      <c r="E1509" t="s">
        <v>5612</v>
      </c>
      <c r="F1509" t="s">
        <v>5613</v>
      </c>
      <c r="G1509" t="s">
        <v>5530</v>
      </c>
      <c r="H1509" t="s">
        <v>182</v>
      </c>
      <c r="I1509" t="s">
        <v>5614</v>
      </c>
    </row>
    <row r="1510" spans="1:9" x14ac:dyDescent="0.25">
      <c r="A1510" t="str">
        <f>"000938708"</f>
        <v>000938708</v>
      </c>
      <c r="B1510" t="s">
        <v>5615</v>
      </c>
      <c r="D1510" t="s">
        <v>5616</v>
      </c>
      <c r="G1510" t="s">
        <v>5617</v>
      </c>
      <c r="H1510" t="s">
        <v>84</v>
      </c>
      <c r="I1510" t="s">
        <v>5618</v>
      </c>
    </row>
    <row r="1511" spans="1:9" x14ac:dyDescent="0.25">
      <c r="A1511" t="str">
        <f>"000220148"</f>
        <v>000220148</v>
      </c>
      <c r="B1511" t="s">
        <v>5619</v>
      </c>
      <c r="D1511" t="s">
        <v>5620</v>
      </c>
      <c r="G1511" t="s">
        <v>64</v>
      </c>
      <c r="H1511" t="s">
        <v>39</v>
      </c>
      <c r="I1511" t="s">
        <v>5621</v>
      </c>
    </row>
    <row r="1512" spans="1:9" x14ac:dyDescent="0.25">
      <c r="A1512" t="str">
        <f>"000564393"</f>
        <v>000564393</v>
      </c>
      <c r="B1512" t="s">
        <v>5622</v>
      </c>
      <c r="D1512" t="s">
        <v>5623</v>
      </c>
      <c r="E1512" t="s">
        <v>5624</v>
      </c>
      <c r="G1512" t="s">
        <v>1305</v>
      </c>
      <c r="H1512" t="s">
        <v>131</v>
      </c>
      <c r="I1512" t="s">
        <v>5625</v>
      </c>
    </row>
    <row r="1513" spans="1:9" x14ac:dyDescent="0.25">
      <c r="A1513" t="str">
        <f>"000204667"</f>
        <v>000204667</v>
      </c>
      <c r="B1513" t="s">
        <v>5626</v>
      </c>
      <c r="D1513" t="s">
        <v>5627</v>
      </c>
      <c r="G1513" t="s">
        <v>170</v>
      </c>
      <c r="H1513" t="s">
        <v>171</v>
      </c>
      <c r="I1513" t="s">
        <v>5628</v>
      </c>
    </row>
    <row r="1514" spans="1:9" x14ac:dyDescent="0.25">
      <c r="A1514" t="str">
        <f>"000884018"</f>
        <v>000884018</v>
      </c>
      <c r="B1514" t="s">
        <v>5629</v>
      </c>
      <c r="D1514" t="s">
        <v>5630</v>
      </c>
      <c r="E1514" t="s">
        <v>5631</v>
      </c>
      <c r="G1514" t="s">
        <v>5632</v>
      </c>
      <c r="H1514" t="s">
        <v>28</v>
      </c>
      <c r="I1514" t="s">
        <v>5633</v>
      </c>
    </row>
    <row r="1515" spans="1:9" x14ac:dyDescent="0.25">
      <c r="A1515" t="str">
        <f>"000159403"</f>
        <v>000159403</v>
      </c>
      <c r="B1515" t="s">
        <v>5634</v>
      </c>
      <c r="D1515" t="s">
        <v>5635</v>
      </c>
      <c r="E1515" t="s">
        <v>5636</v>
      </c>
      <c r="G1515" t="s">
        <v>64</v>
      </c>
      <c r="H1515" t="s">
        <v>39</v>
      </c>
      <c r="I1515" t="s">
        <v>5637</v>
      </c>
    </row>
    <row r="1516" spans="1:9" x14ac:dyDescent="0.25">
      <c r="A1516" t="str">
        <f>"000220014"</f>
        <v>000220014</v>
      </c>
      <c r="B1516" t="s">
        <v>5638</v>
      </c>
      <c r="D1516" t="s">
        <v>5639</v>
      </c>
      <c r="G1516" t="s">
        <v>60</v>
      </c>
      <c r="H1516" t="s">
        <v>28</v>
      </c>
      <c r="I1516" t="s">
        <v>5640</v>
      </c>
    </row>
    <row r="1517" spans="1:9" x14ac:dyDescent="0.25">
      <c r="A1517" t="str">
        <f>"000921975"</f>
        <v>000921975</v>
      </c>
      <c r="B1517" t="s">
        <v>5641</v>
      </c>
      <c r="D1517" t="s">
        <v>5642</v>
      </c>
      <c r="G1517" t="s">
        <v>2176</v>
      </c>
      <c r="H1517" t="s">
        <v>75</v>
      </c>
      <c r="I1517" t="s">
        <v>5643</v>
      </c>
    </row>
    <row r="1518" spans="1:9" x14ac:dyDescent="0.25">
      <c r="A1518" t="str">
        <f>"000178733"</f>
        <v>000178733</v>
      </c>
      <c r="B1518" t="s">
        <v>5644</v>
      </c>
      <c r="D1518" t="s">
        <v>5645</v>
      </c>
      <c r="E1518" t="s">
        <v>5646</v>
      </c>
      <c r="G1518" t="s">
        <v>5647</v>
      </c>
      <c r="H1518" t="s">
        <v>34</v>
      </c>
      <c r="I1518" t="s">
        <v>5648</v>
      </c>
    </row>
    <row r="1519" spans="1:9" x14ac:dyDescent="0.25">
      <c r="A1519" t="str">
        <f>"000180089"</f>
        <v>000180089</v>
      </c>
      <c r="B1519" t="s">
        <v>5649</v>
      </c>
      <c r="D1519" t="s">
        <v>5650</v>
      </c>
      <c r="G1519" t="s">
        <v>170</v>
      </c>
      <c r="H1519" t="s">
        <v>171</v>
      </c>
      <c r="I1519" t="s">
        <v>5651</v>
      </c>
    </row>
    <row r="1520" spans="1:9" x14ac:dyDescent="0.25">
      <c r="A1520" t="str">
        <f>"000246607"</f>
        <v>000246607</v>
      </c>
      <c r="B1520" t="s">
        <v>5652</v>
      </c>
      <c r="D1520" t="s">
        <v>5653</v>
      </c>
      <c r="G1520" t="s">
        <v>5654</v>
      </c>
      <c r="H1520" t="s">
        <v>51</v>
      </c>
      <c r="I1520" t="s">
        <v>5655</v>
      </c>
    </row>
    <row r="1521" spans="1:9" x14ac:dyDescent="0.25">
      <c r="A1521" t="str">
        <f>"000899163"</f>
        <v>000899163</v>
      </c>
      <c r="B1521" t="s">
        <v>5656</v>
      </c>
      <c r="D1521" t="s">
        <v>1356</v>
      </c>
      <c r="G1521" t="s">
        <v>64</v>
      </c>
      <c r="H1521" t="s">
        <v>39</v>
      </c>
      <c r="I1521" t="s">
        <v>5657</v>
      </c>
    </row>
    <row r="1522" spans="1:9" x14ac:dyDescent="0.25">
      <c r="A1522" t="str">
        <f>"000940242"</f>
        <v>000940242</v>
      </c>
      <c r="B1522" t="s">
        <v>5658</v>
      </c>
      <c r="D1522" t="s">
        <v>5659</v>
      </c>
      <c r="E1522" t="s">
        <v>5660</v>
      </c>
      <c r="G1522" t="s">
        <v>2290</v>
      </c>
      <c r="H1522" t="s">
        <v>28</v>
      </c>
      <c r="I1522" t="s">
        <v>5661</v>
      </c>
    </row>
    <row r="1523" spans="1:9" x14ac:dyDescent="0.25">
      <c r="A1523" t="str">
        <f>"000923829"</f>
        <v>000923829</v>
      </c>
      <c r="B1523" t="s">
        <v>5662</v>
      </c>
      <c r="D1523" t="s">
        <v>5663</v>
      </c>
      <c r="G1523" t="s">
        <v>2741</v>
      </c>
      <c r="H1523" t="s">
        <v>152</v>
      </c>
      <c r="I1523" t="s">
        <v>5664</v>
      </c>
    </row>
    <row r="1524" spans="1:9" x14ac:dyDescent="0.25">
      <c r="A1524" t="str">
        <f>"000323028"</f>
        <v>000323028</v>
      </c>
      <c r="B1524" t="s">
        <v>5665</v>
      </c>
      <c r="D1524" t="s">
        <v>5666</v>
      </c>
      <c r="E1524" t="s">
        <v>5667</v>
      </c>
      <c r="G1524" t="s">
        <v>64</v>
      </c>
      <c r="H1524" t="s">
        <v>39</v>
      </c>
      <c r="I1524" t="s">
        <v>5668</v>
      </c>
    </row>
    <row r="1525" spans="1:9" x14ac:dyDescent="0.25">
      <c r="A1525" t="str">
        <f>"000323163"</f>
        <v>000323163</v>
      </c>
      <c r="B1525" t="s">
        <v>5669</v>
      </c>
      <c r="D1525" t="s">
        <v>5670</v>
      </c>
      <c r="G1525" t="s">
        <v>64</v>
      </c>
      <c r="H1525" t="s">
        <v>39</v>
      </c>
      <c r="I1525" t="s">
        <v>5671</v>
      </c>
    </row>
    <row r="1526" spans="1:9" x14ac:dyDescent="0.25">
      <c r="A1526" t="str">
        <f>"000311178"</f>
        <v>000311178</v>
      </c>
      <c r="B1526" t="s">
        <v>5672</v>
      </c>
      <c r="D1526" t="s">
        <v>5673</v>
      </c>
      <c r="G1526" t="s">
        <v>64</v>
      </c>
      <c r="H1526" t="s">
        <v>39</v>
      </c>
      <c r="I1526" t="s">
        <v>5674</v>
      </c>
    </row>
    <row r="1527" spans="1:9" x14ac:dyDescent="0.25">
      <c r="A1527" t="str">
        <f>"000295839"</f>
        <v>000295839</v>
      </c>
      <c r="B1527" t="s">
        <v>5675</v>
      </c>
      <c r="D1527" t="s">
        <v>5676</v>
      </c>
      <c r="G1527" t="s">
        <v>64</v>
      </c>
      <c r="H1527" t="s">
        <v>39</v>
      </c>
      <c r="I1527" t="s">
        <v>5677</v>
      </c>
    </row>
    <row r="1528" spans="1:9" x14ac:dyDescent="0.25">
      <c r="A1528" t="str">
        <f>"000322291"</f>
        <v>000322291</v>
      </c>
      <c r="B1528" t="s">
        <v>5678</v>
      </c>
      <c r="D1528" t="s">
        <v>5679</v>
      </c>
      <c r="G1528" t="s">
        <v>60</v>
      </c>
      <c r="H1528" t="s">
        <v>28</v>
      </c>
      <c r="I1528" t="s">
        <v>5680</v>
      </c>
    </row>
    <row r="1529" spans="1:9" x14ac:dyDescent="0.25">
      <c r="A1529" t="str">
        <f>"000323251"</f>
        <v>000323251</v>
      </c>
      <c r="B1529" t="s">
        <v>5681</v>
      </c>
      <c r="D1529" t="s">
        <v>5682</v>
      </c>
      <c r="E1529" t="s">
        <v>5683</v>
      </c>
      <c r="G1529" t="s">
        <v>64</v>
      </c>
      <c r="H1529" t="s">
        <v>39</v>
      </c>
      <c r="I1529" t="s">
        <v>5684</v>
      </c>
    </row>
    <row r="1530" spans="1:9" x14ac:dyDescent="0.25">
      <c r="A1530" t="str">
        <f>"000153776"</f>
        <v>000153776</v>
      </c>
      <c r="B1530" t="s">
        <v>5685</v>
      </c>
      <c r="D1530" t="s">
        <v>5686</v>
      </c>
      <c r="G1530" t="s">
        <v>5687</v>
      </c>
      <c r="H1530" t="s">
        <v>46</v>
      </c>
      <c r="I1530" t="s">
        <v>5688</v>
      </c>
    </row>
    <row r="1531" spans="1:9" x14ac:dyDescent="0.25">
      <c r="A1531" t="str">
        <f>"000323006"</f>
        <v>000323006</v>
      </c>
      <c r="B1531" t="s">
        <v>5689</v>
      </c>
      <c r="D1531" t="s">
        <v>5690</v>
      </c>
      <c r="E1531" t="s">
        <v>5691</v>
      </c>
      <c r="F1531" t="s">
        <v>5692</v>
      </c>
      <c r="G1531" t="s">
        <v>5693</v>
      </c>
      <c r="H1531" t="s">
        <v>1012</v>
      </c>
      <c r="I1531" t="s">
        <v>5694</v>
      </c>
    </row>
    <row r="1532" spans="1:9" x14ac:dyDescent="0.25">
      <c r="A1532" t="str">
        <f>"000324233"</f>
        <v>000324233</v>
      </c>
      <c r="B1532" t="s">
        <v>5695</v>
      </c>
      <c r="D1532" t="s">
        <v>5696</v>
      </c>
      <c r="E1532" t="s">
        <v>5697</v>
      </c>
      <c r="G1532" t="s">
        <v>1315</v>
      </c>
      <c r="H1532" t="s">
        <v>166</v>
      </c>
      <c r="I1532" t="s">
        <v>5698</v>
      </c>
    </row>
    <row r="1533" spans="1:9" x14ac:dyDescent="0.25">
      <c r="A1533" t="str">
        <f>"000154359"</f>
        <v>000154359</v>
      </c>
      <c r="B1533" t="s">
        <v>5699</v>
      </c>
      <c r="D1533" t="s">
        <v>5700</v>
      </c>
      <c r="G1533" t="s">
        <v>214</v>
      </c>
      <c r="H1533" t="s">
        <v>120</v>
      </c>
      <c r="I1533" t="s">
        <v>5701</v>
      </c>
    </row>
    <row r="1534" spans="1:9" x14ac:dyDescent="0.25">
      <c r="A1534" t="str">
        <f>"000322814"</f>
        <v>000322814</v>
      </c>
      <c r="B1534" t="s">
        <v>5702</v>
      </c>
      <c r="D1534" t="s">
        <v>5703</v>
      </c>
      <c r="E1534" t="s">
        <v>5704</v>
      </c>
      <c r="G1534" t="s">
        <v>64</v>
      </c>
      <c r="H1534" t="s">
        <v>39</v>
      </c>
      <c r="I1534" t="s">
        <v>5705</v>
      </c>
    </row>
    <row r="1535" spans="1:9" x14ac:dyDescent="0.25">
      <c r="A1535" t="str">
        <f>"000322824"</f>
        <v>000322824</v>
      </c>
      <c r="B1535" t="s">
        <v>5706</v>
      </c>
      <c r="D1535" t="s">
        <v>5707</v>
      </c>
      <c r="E1535" t="s">
        <v>5708</v>
      </c>
      <c r="G1535" t="s">
        <v>60</v>
      </c>
      <c r="H1535" t="s">
        <v>28</v>
      </c>
      <c r="I1535" t="s">
        <v>5709</v>
      </c>
    </row>
    <row r="1536" spans="1:9" x14ac:dyDescent="0.25">
      <c r="A1536" t="str">
        <f>"000322863"</f>
        <v>000322863</v>
      </c>
      <c r="B1536" t="s">
        <v>5710</v>
      </c>
      <c r="D1536" t="s">
        <v>5711</v>
      </c>
      <c r="G1536" t="s">
        <v>5712</v>
      </c>
      <c r="H1536" t="s">
        <v>383</v>
      </c>
      <c r="I1536" t="s">
        <v>5713</v>
      </c>
    </row>
    <row r="1537" spans="1:9" x14ac:dyDescent="0.25">
      <c r="A1537" t="str">
        <f>"000324333"</f>
        <v>000324333</v>
      </c>
      <c r="B1537" t="s">
        <v>5714</v>
      </c>
      <c r="D1537" t="s">
        <v>5715</v>
      </c>
      <c r="G1537" t="s">
        <v>275</v>
      </c>
      <c r="H1537" t="s">
        <v>23</v>
      </c>
      <c r="I1537" t="s">
        <v>5716</v>
      </c>
    </row>
    <row r="1538" spans="1:9" x14ac:dyDescent="0.25">
      <c r="A1538" t="str">
        <f>"000323719"</f>
        <v>000323719</v>
      </c>
      <c r="B1538" t="s">
        <v>5717</v>
      </c>
      <c r="D1538" t="s">
        <v>5718</v>
      </c>
      <c r="G1538" t="s">
        <v>60</v>
      </c>
      <c r="H1538" t="s">
        <v>28</v>
      </c>
      <c r="I1538" t="s">
        <v>5719</v>
      </c>
    </row>
    <row r="1539" spans="1:9" x14ac:dyDescent="0.25">
      <c r="A1539" t="str">
        <f>"000324198"</f>
        <v>000324198</v>
      </c>
      <c r="B1539" t="s">
        <v>5720</v>
      </c>
      <c r="D1539" t="s">
        <v>5721</v>
      </c>
      <c r="G1539" t="s">
        <v>38</v>
      </c>
      <c r="H1539" t="s">
        <v>39</v>
      </c>
      <c r="I1539" t="s">
        <v>5722</v>
      </c>
    </row>
    <row r="1540" spans="1:9" x14ac:dyDescent="0.25">
      <c r="A1540" t="str">
        <f>"000324212"</f>
        <v>000324212</v>
      </c>
      <c r="B1540" t="s">
        <v>5723</v>
      </c>
      <c r="D1540" t="s">
        <v>5724</v>
      </c>
      <c r="E1540" t="s">
        <v>5725</v>
      </c>
      <c r="G1540" t="s">
        <v>90</v>
      </c>
      <c r="H1540" t="s">
        <v>39</v>
      </c>
      <c r="I1540" t="s">
        <v>5726</v>
      </c>
    </row>
    <row r="1541" spans="1:9" x14ac:dyDescent="0.25">
      <c r="A1541" t="str">
        <f>"000323852"</f>
        <v>000323852</v>
      </c>
      <c r="B1541" t="s">
        <v>5727</v>
      </c>
      <c r="D1541" t="s">
        <v>5728</v>
      </c>
      <c r="G1541" t="s">
        <v>2444</v>
      </c>
      <c r="H1541" t="s">
        <v>263</v>
      </c>
      <c r="I1541" t="s">
        <v>5729</v>
      </c>
    </row>
    <row r="1542" spans="1:9" x14ac:dyDescent="0.25">
      <c r="A1542" t="str">
        <f>"000221838"</f>
        <v>000221838</v>
      </c>
      <c r="B1542" t="s">
        <v>5730</v>
      </c>
      <c r="D1542" t="s">
        <v>5731</v>
      </c>
      <c r="E1542" t="s">
        <v>5732</v>
      </c>
      <c r="F1542" t="s">
        <v>5733</v>
      </c>
      <c r="G1542" t="s">
        <v>64</v>
      </c>
      <c r="H1542" t="s">
        <v>39</v>
      </c>
      <c r="I1542" t="s">
        <v>5734</v>
      </c>
    </row>
    <row r="1543" spans="1:9" x14ac:dyDescent="0.25">
      <c r="A1543" t="str">
        <f>"000322595"</f>
        <v>000322595</v>
      </c>
      <c r="B1543" t="s">
        <v>5735</v>
      </c>
      <c r="D1543" t="s">
        <v>5736</v>
      </c>
      <c r="G1543" t="s">
        <v>64</v>
      </c>
      <c r="H1543" t="s">
        <v>39</v>
      </c>
      <c r="I1543" t="s">
        <v>5737</v>
      </c>
    </row>
    <row r="1544" spans="1:9" x14ac:dyDescent="0.25">
      <c r="A1544" t="str">
        <f>"000322611"</f>
        <v>000322611</v>
      </c>
      <c r="B1544" t="s">
        <v>5738</v>
      </c>
      <c r="D1544" t="s">
        <v>5739</v>
      </c>
      <c r="E1544" t="s">
        <v>5740</v>
      </c>
      <c r="G1544" t="s">
        <v>60</v>
      </c>
      <c r="H1544" t="s">
        <v>28</v>
      </c>
      <c r="I1544" t="s">
        <v>5741</v>
      </c>
    </row>
    <row r="1545" spans="1:9" x14ac:dyDescent="0.25">
      <c r="A1545" t="str">
        <f>"000324062"</f>
        <v>000324062</v>
      </c>
      <c r="B1545" t="s">
        <v>5742</v>
      </c>
      <c r="D1545" t="s">
        <v>5743</v>
      </c>
      <c r="G1545" t="s">
        <v>60</v>
      </c>
      <c r="H1545" t="s">
        <v>28</v>
      </c>
      <c r="I1545" t="s">
        <v>5744</v>
      </c>
    </row>
    <row r="1546" spans="1:9" x14ac:dyDescent="0.25">
      <c r="A1546" t="str">
        <f>"000324086"</f>
        <v>000324086</v>
      </c>
      <c r="B1546" t="s">
        <v>5745</v>
      </c>
      <c r="D1546" t="s">
        <v>5746</v>
      </c>
      <c r="E1546" t="s">
        <v>5747</v>
      </c>
      <c r="G1546" t="s">
        <v>64</v>
      </c>
      <c r="H1546" t="s">
        <v>39</v>
      </c>
      <c r="I1546">
        <v>63101</v>
      </c>
    </row>
    <row r="1547" spans="1:9" x14ac:dyDescent="0.25">
      <c r="A1547" t="str">
        <f>"000209608"</f>
        <v>000209608</v>
      </c>
      <c r="B1547" t="s">
        <v>5748</v>
      </c>
      <c r="D1547" t="s">
        <v>5749</v>
      </c>
      <c r="E1547" t="s">
        <v>5750</v>
      </c>
      <c r="F1547" t="s">
        <v>5751</v>
      </c>
      <c r="G1547" t="s">
        <v>1113</v>
      </c>
      <c r="H1547" t="s">
        <v>34</v>
      </c>
      <c r="I1547" t="s">
        <v>5752</v>
      </c>
    </row>
    <row r="1548" spans="1:9" x14ac:dyDescent="0.25">
      <c r="A1548" t="str">
        <f>"000322712"</f>
        <v>000322712</v>
      </c>
      <c r="B1548" t="s">
        <v>5753</v>
      </c>
      <c r="D1548" t="s">
        <v>5754</v>
      </c>
      <c r="E1548" t="s">
        <v>5755</v>
      </c>
      <c r="G1548" t="s">
        <v>214</v>
      </c>
      <c r="H1548" t="s">
        <v>120</v>
      </c>
      <c r="I1548" t="s">
        <v>5756</v>
      </c>
    </row>
    <row r="1549" spans="1:9" x14ac:dyDescent="0.25">
      <c r="A1549" t="str">
        <f>"000322713"</f>
        <v>000322713</v>
      </c>
      <c r="B1549" t="s">
        <v>5757</v>
      </c>
      <c r="D1549" t="s">
        <v>5758</v>
      </c>
      <c r="E1549" t="s">
        <v>5759</v>
      </c>
      <c r="G1549" t="s">
        <v>523</v>
      </c>
      <c r="H1549" t="s">
        <v>524</v>
      </c>
      <c r="I1549" t="s">
        <v>5760</v>
      </c>
    </row>
    <row r="1550" spans="1:9" x14ac:dyDescent="0.25">
      <c r="A1550" t="str">
        <f>"000324344"</f>
        <v>000324344</v>
      </c>
      <c r="B1550" t="s">
        <v>5761</v>
      </c>
      <c r="D1550" t="s">
        <v>5762</v>
      </c>
      <c r="G1550" t="s">
        <v>253</v>
      </c>
      <c r="H1550" t="s">
        <v>28</v>
      </c>
      <c r="I1550" t="s">
        <v>5763</v>
      </c>
    </row>
    <row r="1551" spans="1:9" x14ac:dyDescent="0.25">
      <c r="A1551" t="str">
        <f>"000324346"</f>
        <v>000324346</v>
      </c>
      <c r="B1551" t="s">
        <v>5764</v>
      </c>
      <c r="D1551" t="s">
        <v>5765</v>
      </c>
      <c r="G1551" t="s">
        <v>60</v>
      </c>
      <c r="H1551" t="s">
        <v>28</v>
      </c>
      <c r="I1551" t="s">
        <v>5766</v>
      </c>
    </row>
    <row r="1552" spans="1:9" x14ac:dyDescent="0.25">
      <c r="A1552" t="str">
        <f>"000190256"</f>
        <v>000190256</v>
      </c>
      <c r="B1552" t="s">
        <v>5767</v>
      </c>
      <c r="D1552" t="s">
        <v>5768</v>
      </c>
      <c r="G1552" t="s">
        <v>60</v>
      </c>
      <c r="H1552" t="s">
        <v>28</v>
      </c>
      <c r="I1552" t="s">
        <v>5769</v>
      </c>
    </row>
    <row r="1553" spans="1:9" x14ac:dyDescent="0.25">
      <c r="A1553" t="str">
        <f>"000266171"</f>
        <v>000266171</v>
      </c>
      <c r="B1553" t="s">
        <v>5770</v>
      </c>
      <c r="D1553" t="s">
        <v>5771</v>
      </c>
      <c r="G1553" t="s">
        <v>5772</v>
      </c>
      <c r="I1553" t="s">
        <v>5773</v>
      </c>
    </row>
    <row r="1554" spans="1:9" x14ac:dyDescent="0.25">
      <c r="A1554" t="str">
        <f>"000266176"</f>
        <v>000266176</v>
      </c>
      <c r="B1554" t="s">
        <v>5774</v>
      </c>
      <c r="D1554" t="s">
        <v>5775</v>
      </c>
      <c r="G1554" t="s">
        <v>64</v>
      </c>
      <c r="H1554" t="s">
        <v>39</v>
      </c>
      <c r="I1554" t="s">
        <v>5776</v>
      </c>
    </row>
    <row r="1555" spans="1:9" x14ac:dyDescent="0.25">
      <c r="A1555" t="str">
        <f>"000271227"</f>
        <v>000271227</v>
      </c>
      <c r="B1555" t="s">
        <v>5777</v>
      </c>
      <c r="D1555" t="s">
        <v>5778</v>
      </c>
      <c r="G1555" t="s">
        <v>64</v>
      </c>
      <c r="H1555" t="s">
        <v>39</v>
      </c>
      <c r="I1555" t="s">
        <v>5779</v>
      </c>
    </row>
    <row r="1556" spans="1:9" x14ac:dyDescent="0.25">
      <c r="A1556" t="str">
        <f>"000285115"</f>
        <v>000285115</v>
      </c>
      <c r="B1556" t="s">
        <v>5780</v>
      </c>
      <c r="D1556" t="s">
        <v>5781</v>
      </c>
      <c r="G1556" t="s">
        <v>5782</v>
      </c>
      <c r="H1556" t="s">
        <v>182</v>
      </c>
      <c r="I1556" t="s">
        <v>5783</v>
      </c>
    </row>
    <row r="1557" spans="1:9" x14ac:dyDescent="0.25">
      <c r="A1557" t="str">
        <f>"000304397"</f>
        <v>000304397</v>
      </c>
      <c r="B1557" t="s">
        <v>5784</v>
      </c>
      <c r="D1557" t="s">
        <v>5785</v>
      </c>
      <c r="G1557" t="s">
        <v>214</v>
      </c>
      <c r="H1557" t="s">
        <v>120</v>
      </c>
      <c r="I1557" t="s">
        <v>5786</v>
      </c>
    </row>
    <row r="1558" spans="1:9" x14ac:dyDescent="0.25">
      <c r="A1558" t="str">
        <f>"000286800"</f>
        <v>000286800</v>
      </c>
      <c r="B1558" t="s">
        <v>5787</v>
      </c>
      <c r="D1558" t="s">
        <v>5788</v>
      </c>
      <c r="G1558" t="s">
        <v>5789</v>
      </c>
      <c r="H1558" t="s">
        <v>513</v>
      </c>
      <c r="I1558" t="s">
        <v>5790</v>
      </c>
    </row>
    <row r="1559" spans="1:9" x14ac:dyDescent="0.25">
      <c r="A1559" t="str">
        <f>"000288098"</f>
        <v>000288098</v>
      </c>
      <c r="B1559" t="s">
        <v>5791</v>
      </c>
      <c r="D1559" t="s">
        <v>5792</v>
      </c>
      <c r="E1559" t="s">
        <v>5793</v>
      </c>
      <c r="G1559" t="s">
        <v>64</v>
      </c>
      <c r="H1559" t="s">
        <v>39</v>
      </c>
      <c r="I1559" t="s">
        <v>5794</v>
      </c>
    </row>
    <row r="1560" spans="1:9" x14ac:dyDescent="0.25">
      <c r="A1560" t="str">
        <f>"000304661"</f>
        <v>000304661</v>
      </c>
      <c r="B1560" t="s">
        <v>5795</v>
      </c>
      <c r="D1560" t="s">
        <v>5796</v>
      </c>
      <c r="G1560" t="s">
        <v>591</v>
      </c>
      <c r="H1560" t="s">
        <v>1234</v>
      </c>
      <c r="I1560" t="s">
        <v>5797</v>
      </c>
    </row>
    <row r="1561" spans="1:9" x14ac:dyDescent="0.25">
      <c r="A1561" t="str">
        <f>"000370357"</f>
        <v>000370357</v>
      </c>
      <c r="B1561" t="s">
        <v>5798</v>
      </c>
      <c r="D1561" t="s">
        <v>5799</v>
      </c>
      <c r="G1561" t="s">
        <v>2247</v>
      </c>
      <c r="I1561" t="s">
        <v>5800</v>
      </c>
    </row>
    <row r="1562" spans="1:9" x14ac:dyDescent="0.25">
      <c r="A1562" t="str">
        <f>"001041614"</f>
        <v>001041614</v>
      </c>
      <c r="B1562" t="s">
        <v>5801</v>
      </c>
      <c r="D1562" t="s">
        <v>5802</v>
      </c>
      <c r="G1562" t="s">
        <v>1113</v>
      </c>
      <c r="H1562" t="s">
        <v>34</v>
      </c>
      <c r="I1562" t="s">
        <v>5803</v>
      </c>
    </row>
    <row r="1563" spans="1:9" x14ac:dyDescent="0.25">
      <c r="A1563" t="str">
        <f>"000408424"</f>
        <v>000408424</v>
      </c>
      <c r="B1563" t="s">
        <v>5804</v>
      </c>
      <c r="D1563" t="s">
        <v>5805</v>
      </c>
      <c r="G1563" t="s">
        <v>3729</v>
      </c>
      <c r="H1563" t="s">
        <v>1012</v>
      </c>
      <c r="I1563" t="s">
        <v>5806</v>
      </c>
    </row>
    <row r="1564" spans="1:9" x14ac:dyDescent="0.25">
      <c r="A1564" t="str">
        <f>"000408844"</f>
        <v>000408844</v>
      </c>
      <c r="B1564" t="s">
        <v>5807</v>
      </c>
      <c r="D1564" t="s">
        <v>5808</v>
      </c>
      <c r="E1564" t="s">
        <v>5809</v>
      </c>
      <c r="G1564" t="s">
        <v>3425</v>
      </c>
      <c r="H1564" t="s">
        <v>13</v>
      </c>
      <c r="I1564" t="s">
        <v>5810</v>
      </c>
    </row>
    <row r="1565" spans="1:9" x14ac:dyDescent="0.25">
      <c r="A1565" t="str">
        <f>"000384944"</f>
        <v>000384944</v>
      </c>
      <c r="B1565" t="s">
        <v>5811</v>
      </c>
      <c r="D1565" t="s">
        <v>4475</v>
      </c>
      <c r="E1565" t="s">
        <v>5812</v>
      </c>
      <c r="G1565" t="s">
        <v>130</v>
      </c>
      <c r="H1565" t="s">
        <v>131</v>
      </c>
      <c r="I1565" t="s">
        <v>5813</v>
      </c>
    </row>
    <row r="1566" spans="1:9" x14ac:dyDescent="0.25">
      <c r="A1566" t="str">
        <f>"000418936"</f>
        <v>000418936</v>
      </c>
      <c r="B1566" t="s">
        <v>5814</v>
      </c>
      <c r="D1566" t="s">
        <v>5815</v>
      </c>
      <c r="G1566" t="s">
        <v>83</v>
      </c>
      <c r="H1566" t="s">
        <v>84</v>
      </c>
      <c r="I1566" t="s">
        <v>5816</v>
      </c>
    </row>
    <row r="1567" spans="1:9" x14ac:dyDescent="0.25">
      <c r="A1567" t="str">
        <f>"000432263"</f>
        <v>000432263</v>
      </c>
      <c r="B1567" t="s">
        <v>5817</v>
      </c>
      <c r="D1567" t="s">
        <v>5818</v>
      </c>
      <c r="G1567" t="s">
        <v>64</v>
      </c>
      <c r="H1567" t="s">
        <v>39</v>
      </c>
      <c r="I1567" t="s">
        <v>5819</v>
      </c>
    </row>
    <row r="1568" spans="1:9" x14ac:dyDescent="0.25">
      <c r="A1568" t="str">
        <f>"000429037"</f>
        <v>000429037</v>
      </c>
      <c r="B1568" t="s">
        <v>5820</v>
      </c>
      <c r="D1568" t="s">
        <v>5821</v>
      </c>
      <c r="E1568" t="s">
        <v>5822</v>
      </c>
      <c r="G1568" t="s">
        <v>481</v>
      </c>
      <c r="H1568" t="s">
        <v>75</v>
      </c>
      <c r="I1568" t="s">
        <v>5823</v>
      </c>
    </row>
    <row r="1569" spans="1:9" x14ac:dyDescent="0.25">
      <c r="A1569" t="str">
        <f>"000429089"</f>
        <v>000429089</v>
      </c>
      <c r="B1569" t="s">
        <v>5824</v>
      </c>
      <c r="D1569" t="s">
        <v>5825</v>
      </c>
      <c r="G1569" t="s">
        <v>2048</v>
      </c>
      <c r="H1569" t="s">
        <v>23</v>
      </c>
      <c r="I1569" t="s">
        <v>5826</v>
      </c>
    </row>
    <row r="1570" spans="1:9" x14ac:dyDescent="0.25">
      <c r="A1570" t="str">
        <f>"000430045"</f>
        <v>000430045</v>
      </c>
      <c r="B1570" t="s">
        <v>5827</v>
      </c>
      <c r="D1570" t="s">
        <v>1843</v>
      </c>
      <c r="G1570" t="s">
        <v>5828</v>
      </c>
      <c r="H1570" t="s">
        <v>120</v>
      </c>
      <c r="I1570" t="s">
        <v>5829</v>
      </c>
    </row>
    <row r="1571" spans="1:9" x14ac:dyDescent="0.25">
      <c r="A1571" t="str">
        <f>"000435820"</f>
        <v>000435820</v>
      </c>
      <c r="B1571" t="s">
        <v>5830</v>
      </c>
      <c r="D1571" t="s">
        <v>5831</v>
      </c>
      <c r="E1571" t="s">
        <v>4045</v>
      </c>
      <c r="G1571" t="s">
        <v>64</v>
      </c>
      <c r="H1571" t="s">
        <v>39</v>
      </c>
      <c r="I1571" t="s">
        <v>5832</v>
      </c>
    </row>
    <row r="1572" spans="1:9" x14ac:dyDescent="0.25">
      <c r="A1572" t="str">
        <f>"000446465"</f>
        <v>000446465</v>
      </c>
      <c r="B1572" t="s">
        <v>5833</v>
      </c>
      <c r="D1572" t="s">
        <v>1073</v>
      </c>
      <c r="E1572" t="s">
        <v>5834</v>
      </c>
      <c r="G1572" t="s">
        <v>214</v>
      </c>
      <c r="H1572" t="s">
        <v>120</v>
      </c>
      <c r="I1572" t="s">
        <v>5835</v>
      </c>
    </row>
    <row r="1573" spans="1:9" x14ac:dyDescent="0.25">
      <c r="A1573" t="str">
        <f>"000449456"</f>
        <v>000449456</v>
      </c>
      <c r="B1573" t="s">
        <v>5836</v>
      </c>
      <c r="D1573" t="s">
        <v>5837</v>
      </c>
      <c r="G1573" t="s">
        <v>64</v>
      </c>
      <c r="H1573" t="s">
        <v>39</v>
      </c>
      <c r="I1573" t="s">
        <v>5838</v>
      </c>
    </row>
    <row r="1574" spans="1:9" x14ac:dyDescent="0.25">
      <c r="A1574" t="str">
        <f>"000448897"</f>
        <v>000448897</v>
      </c>
      <c r="B1574" t="s">
        <v>5839</v>
      </c>
      <c r="D1574" t="s">
        <v>5840</v>
      </c>
      <c r="E1574" t="s">
        <v>5841</v>
      </c>
      <c r="G1574" t="s">
        <v>64</v>
      </c>
      <c r="H1574" t="s">
        <v>39</v>
      </c>
      <c r="I1574" t="s">
        <v>5842</v>
      </c>
    </row>
    <row r="1575" spans="1:9" x14ac:dyDescent="0.25">
      <c r="A1575" t="str">
        <f>"000446549"</f>
        <v>000446549</v>
      </c>
      <c r="B1575" t="s">
        <v>5843</v>
      </c>
      <c r="D1575" t="s">
        <v>5844</v>
      </c>
      <c r="G1575" t="s">
        <v>291</v>
      </c>
      <c r="H1575" t="s">
        <v>182</v>
      </c>
      <c r="I1575" t="s">
        <v>5845</v>
      </c>
    </row>
    <row r="1576" spans="1:9" x14ac:dyDescent="0.25">
      <c r="A1576" t="str">
        <f>"000444497"</f>
        <v>000444497</v>
      </c>
      <c r="B1576" t="s">
        <v>5846</v>
      </c>
      <c r="D1576" t="s">
        <v>5847</v>
      </c>
      <c r="G1576" t="s">
        <v>5848</v>
      </c>
      <c r="H1576" t="s">
        <v>477</v>
      </c>
      <c r="I1576" t="s">
        <v>5849</v>
      </c>
    </row>
    <row r="1577" spans="1:9" x14ac:dyDescent="0.25">
      <c r="A1577" t="str">
        <f>"000444116"</f>
        <v>000444116</v>
      </c>
      <c r="B1577" t="s">
        <v>5850</v>
      </c>
      <c r="D1577" t="s">
        <v>5851</v>
      </c>
      <c r="E1577" t="s">
        <v>5852</v>
      </c>
      <c r="G1577" t="s">
        <v>382</v>
      </c>
      <c r="I1577" t="s">
        <v>5853</v>
      </c>
    </row>
    <row r="1578" spans="1:9" x14ac:dyDescent="0.25">
      <c r="A1578" t="str">
        <f>"000495342"</f>
        <v>000495342</v>
      </c>
      <c r="B1578" t="s">
        <v>5854</v>
      </c>
      <c r="D1578" t="s">
        <v>5855</v>
      </c>
      <c r="E1578" t="s">
        <v>5856</v>
      </c>
      <c r="G1578" t="s">
        <v>5857</v>
      </c>
      <c r="H1578" t="s">
        <v>477</v>
      </c>
      <c r="I1578" t="s">
        <v>5858</v>
      </c>
    </row>
    <row r="1579" spans="1:9" x14ac:dyDescent="0.25">
      <c r="A1579" t="str">
        <f>"000495465"</f>
        <v>000495465</v>
      </c>
      <c r="B1579" t="s">
        <v>5859</v>
      </c>
      <c r="D1579" t="s">
        <v>5860</v>
      </c>
      <c r="G1579" t="s">
        <v>467</v>
      </c>
      <c r="H1579" t="s">
        <v>468</v>
      </c>
      <c r="I1579" t="s">
        <v>5861</v>
      </c>
    </row>
    <row r="1580" spans="1:9" x14ac:dyDescent="0.25">
      <c r="A1580" t="str">
        <f>"000480497"</f>
        <v>000480497</v>
      </c>
      <c r="B1580" t="s">
        <v>5862</v>
      </c>
      <c r="D1580" t="s">
        <v>5863</v>
      </c>
      <c r="E1580" t="s">
        <v>5864</v>
      </c>
      <c r="G1580" t="s">
        <v>90</v>
      </c>
      <c r="H1580" t="s">
        <v>827</v>
      </c>
      <c r="I1580" t="s">
        <v>5865</v>
      </c>
    </row>
    <row r="1581" spans="1:9" x14ac:dyDescent="0.25">
      <c r="A1581" t="str">
        <f>"000657235"</f>
        <v>000657235</v>
      </c>
      <c r="B1581" t="s">
        <v>5866</v>
      </c>
      <c r="D1581" t="s">
        <v>5867</v>
      </c>
      <c r="G1581" t="s">
        <v>64</v>
      </c>
      <c r="H1581" t="s">
        <v>39</v>
      </c>
      <c r="I1581" t="s">
        <v>5868</v>
      </c>
    </row>
    <row r="1582" spans="1:9" x14ac:dyDescent="0.25">
      <c r="A1582" t="str">
        <f>"000682348"</f>
        <v>000682348</v>
      </c>
      <c r="B1582" t="s">
        <v>5869</v>
      </c>
      <c r="D1582" t="s">
        <v>5870</v>
      </c>
      <c r="G1582" t="s">
        <v>2564</v>
      </c>
      <c r="H1582" t="s">
        <v>84</v>
      </c>
      <c r="I1582" t="s">
        <v>5871</v>
      </c>
    </row>
    <row r="1583" spans="1:9" x14ac:dyDescent="0.25">
      <c r="A1583" t="str">
        <f>"000709485"</f>
        <v>000709485</v>
      </c>
      <c r="B1583" t="s">
        <v>5872</v>
      </c>
      <c r="D1583" t="s">
        <v>5873</v>
      </c>
      <c r="G1583" t="s">
        <v>1957</v>
      </c>
      <c r="H1583" t="s">
        <v>161</v>
      </c>
      <c r="I1583" t="s">
        <v>5874</v>
      </c>
    </row>
    <row r="1584" spans="1:9" x14ac:dyDescent="0.25">
      <c r="A1584" t="str">
        <f>"000692144"</f>
        <v>000692144</v>
      </c>
      <c r="B1584" t="s">
        <v>5875</v>
      </c>
      <c r="D1584" t="s">
        <v>5876</v>
      </c>
      <c r="G1584" t="s">
        <v>64</v>
      </c>
      <c r="H1584" t="s">
        <v>39</v>
      </c>
      <c r="I1584" t="s">
        <v>5877</v>
      </c>
    </row>
    <row r="1585" spans="1:9" x14ac:dyDescent="0.25">
      <c r="A1585" t="str">
        <f>"000689468"</f>
        <v>000689468</v>
      </c>
      <c r="B1585" t="s">
        <v>5878</v>
      </c>
      <c r="D1585" t="s">
        <v>5879</v>
      </c>
      <c r="G1585" t="s">
        <v>949</v>
      </c>
      <c r="H1585" t="s">
        <v>34</v>
      </c>
      <c r="I1585" t="s">
        <v>5880</v>
      </c>
    </row>
    <row r="1586" spans="1:9" x14ac:dyDescent="0.25">
      <c r="A1586" t="str">
        <f>"000701547"</f>
        <v>000701547</v>
      </c>
      <c r="B1586" t="s">
        <v>5881</v>
      </c>
      <c r="D1586" t="s">
        <v>1492</v>
      </c>
      <c r="G1586" t="s">
        <v>1515</v>
      </c>
      <c r="H1586" t="s">
        <v>161</v>
      </c>
      <c r="I1586" t="s">
        <v>5882</v>
      </c>
    </row>
    <row r="1587" spans="1:9" x14ac:dyDescent="0.25">
      <c r="A1587" t="str">
        <f>"000704043"</f>
        <v>000704043</v>
      </c>
      <c r="B1587" t="s">
        <v>5883</v>
      </c>
      <c r="D1587" t="s">
        <v>5884</v>
      </c>
      <c r="G1587" t="s">
        <v>69</v>
      </c>
      <c r="H1587" t="s">
        <v>70</v>
      </c>
      <c r="I1587" t="s">
        <v>5885</v>
      </c>
    </row>
    <row r="1588" spans="1:9" x14ac:dyDescent="0.25">
      <c r="A1588" t="str">
        <f>"000738116"</f>
        <v>000738116</v>
      </c>
      <c r="B1588" t="s">
        <v>5886</v>
      </c>
      <c r="D1588" t="s">
        <v>5887</v>
      </c>
      <c r="G1588" t="s">
        <v>323</v>
      </c>
      <c r="H1588" t="s">
        <v>84</v>
      </c>
      <c r="I1588" t="s">
        <v>5888</v>
      </c>
    </row>
    <row r="1589" spans="1:9" x14ac:dyDescent="0.25">
      <c r="A1589" t="str">
        <f>"000738157"</f>
        <v>000738157</v>
      </c>
      <c r="B1589" t="s">
        <v>5889</v>
      </c>
      <c r="D1589" t="s">
        <v>5890</v>
      </c>
      <c r="G1589" t="s">
        <v>5891</v>
      </c>
      <c r="H1589" t="s">
        <v>34</v>
      </c>
      <c r="I1589" t="s">
        <v>5892</v>
      </c>
    </row>
    <row r="1590" spans="1:9" x14ac:dyDescent="0.25">
      <c r="A1590" t="str">
        <f>"000737878"</f>
        <v>000737878</v>
      </c>
      <c r="B1590" t="s">
        <v>5893</v>
      </c>
      <c r="D1590" t="s">
        <v>5894</v>
      </c>
      <c r="G1590" t="s">
        <v>1026</v>
      </c>
      <c r="H1590" t="s">
        <v>263</v>
      </c>
      <c r="I1590" t="s">
        <v>5895</v>
      </c>
    </row>
    <row r="1591" spans="1:9" x14ac:dyDescent="0.25">
      <c r="A1591" t="str">
        <f>"000729545"</f>
        <v>000729545</v>
      </c>
      <c r="B1591" t="s">
        <v>5896</v>
      </c>
      <c r="D1591" t="s">
        <v>5897</v>
      </c>
      <c r="G1591" t="s">
        <v>3165</v>
      </c>
      <c r="H1591" t="s">
        <v>51</v>
      </c>
      <c r="I1591" t="s">
        <v>5898</v>
      </c>
    </row>
    <row r="1592" spans="1:9" x14ac:dyDescent="0.25">
      <c r="A1592" t="str">
        <f>"000730572"</f>
        <v>000730572</v>
      </c>
      <c r="B1592" t="s">
        <v>5899</v>
      </c>
      <c r="D1592" t="s">
        <v>5900</v>
      </c>
      <c r="G1592" t="s">
        <v>5901</v>
      </c>
      <c r="H1592" t="s">
        <v>263</v>
      </c>
      <c r="I1592" t="s">
        <v>5902</v>
      </c>
    </row>
    <row r="1593" spans="1:9" x14ac:dyDescent="0.25">
      <c r="A1593" t="str">
        <f>"000710757"</f>
        <v>000710757</v>
      </c>
      <c r="B1593" t="s">
        <v>5903</v>
      </c>
      <c r="D1593" t="s">
        <v>5904</v>
      </c>
      <c r="E1593" t="s">
        <v>5905</v>
      </c>
      <c r="G1593" t="s">
        <v>3801</v>
      </c>
      <c r="I1593" t="s">
        <v>5906</v>
      </c>
    </row>
    <row r="1594" spans="1:9" x14ac:dyDescent="0.25">
      <c r="A1594" t="str">
        <f>"000741500"</f>
        <v>000741500</v>
      </c>
      <c r="B1594" t="s">
        <v>5907</v>
      </c>
      <c r="D1594" t="s">
        <v>5908</v>
      </c>
      <c r="G1594" t="s">
        <v>1457</v>
      </c>
      <c r="H1594" t="s">
        <v>13</v>
      </c>
      <c r="I1594" t="s">
        <v>5909</v>
      </c>
    </row>
    <row r="1595" spans="1:9" x14ac:dyDescent="0.25">
      <c r="A1595" t="str">
        <f>"000759464"</f>
        <v>000759464</v>
      </c>
      <c r="B1595" t="s">
        <v>5910</v>
      </c>
      <c r="D1595" t="s">
        <v>5911</v>
      </c>
      <c r="G1595" t="s">
        <v>291</v>
      </c>
      <c r="H1595" t="s">
        <v>182</v>
      </c>
      <c r="I1595" t="s">
        <v>5912</v>
      </c>
    </row>
    <row r="1596" spans="1:9" x14ac:dyDescent="0.25">
      <c r="A1596" t="str">
        <f>"000750981"</f>
        <v>000750981</v>
      </c>
      <c r="B1596" t="s">
        <v>5913</v>
      </c>
      <c r="D1596" t="s">
        <v>5914</v>
      </c>
      <c r="G1596" t="s">
        <v>64</v>
      </c>
      <c r="H1596" t="s">
        <v>39</v>
      </c>
      <c r="I1596" t="s">
        <v>5915</v>
      </c>
    </row>
    <row r="1597" spans="1:9" x14ac:dyDescent="0.25">
      <c r="A1597" t="str">
        <f>"000748817"</f>
        <v>000748817</v>
      </c>
      <c r="B1597" t="s">
        <v>5916</v>
      </c>
      <c r="D1597" t="s">
        <v>5917</v>
      </c>
      <c r="G1597" t="s">
        <v>5918</v>
      </c>
      <c r="H1597" t="s">
        <v>166</v>
      </c>
      <c r="I1597" t="s">
        <v>5919</v>
      </c>
    </row>
    <row r="1598" spans="1:9" x14ac:dyDescent="0.25">
      <c r="A1598" t="str">
        <f>"000772213"</f>
        <v>000772213</v>
      </c>
      <c r="B1598" t="s">
        <v>5920</v>
      </c>
      <c r="D1598" t="s">
        <v>5921</v>
      </c>
      <c r="G1598" t="s">
        <v>60</v>
      </c>
      <c r="H1598" t="s">
        <v>28</v>
      </c>
      <c r="I1598" t="s">
        <v>5922</v>
      </c>
    </row>
    <row r="1599" spans="1:9" x14ac:dyDescent="0.25">
      <c r="A1599" t="str">
        <f>"000790816"</f>
        <v>000790816</v>
      </c>
      <c r="B1599" t="s">
        <v>5923</v>
      </c>
      <c r="D1599" t="s">
        <v>5924</v>
      </c>
      <c r="G1599" t="s">
        <v>17</v>
      </c>
      <c r="H1599" t="s">
        <v>13</v>
      </c>
      <c r="I1599" t="s">
        <v>5925</v>
      </c>
    </row>
    <row r="1600" spans="1:9" x14ac:dyDescent="0.25">
      <c r="A1600" t="str">
        <f>"000771914"</f>
        <v>000771914</v>
      </c>
      <c r="B1600" t="s">
        <v>5926</v>
      </c>
      <c r="D1600" t="s">
        <v>5927</v>
      </c>
      <c r="G1600" t="s">
        <v>5928</v>
      </c>
      <c r="H1600" t="s">
        <v>477</v>
      </c>
      <c r="I1600" t="s">
        <v>5929</v>
      </c>
    </row>
    <row r="1601" spans="1:9" x14ac:dyDescent="0.25">
      <c r="A1601" t="str">
        <f>"000776693"</f>
        <v>000776693</v>
      </c>
      <c r="B1601" t="s">
        <v>5930</v>
      </c>
      <c r="D1601" t="s">
        <v>5931</v>
      </c>
      <c r="G1601" t="s">
        <v>64</v>
      </c>
      <c r="H1601" t="s">
        <v>39</v>
      </c>
      <c r="I1601" t="s">
        <v>5932</v>
      </c>
    </row>
    <row r="1602" spans="1:9" x14ac:dyDescent="0.25">
      <c r="A1602" t="str">
        <f>"000799689"</f>
        <v>000799689</v>
      </c>
      <c r="B1602" t="s">
        <v>5933</v>
      </c>
      <c r="D1602" t="s">
        <v>5934</v>
      </c>
      <c r="G1602" t="s">
        <v>170</v>
      </c>
      <c r="H1602" t="s">
        <v>171</v>
      </c>
      <c r="I1602" t="s">
        <v>5935</v>
      </c>
    </row>
    <row r="1603" spans="1:9" x14ac:dyDescent="0.25">
      <c r="A1603" t="str">
        <f>"000784138"</f>
        <v>000784138</v>
      </c>
      <c r="B1603" t="s">
        <v>5936</v>
      </c>
      <c r="D1603" t="s">
        <v>5937</v>
      </c>
      <c r="G1603" t="s">
        <v>60</v>
      </c>
      <c r="H1603" t="s">
        <v>28</v>
      </c>
      <c r="I1603" t="s">
        <v>5938</v>
      </c>
    </row>
    <row r="1604" spans="1:9" x14ac:dyDescent="0.25">
      <c r="A1604" t="str">
        <f>"000792056"</f>
        <v>000792056</v>
      </c>
      <c r="B1604" t="s">
        <v>5939</v>
      </c>
      <c r="D1604" t="s">
        <v>5940</v>
      </c>
      <c r="G1604" t="s">
        <v>64</v>
      </c>
      <c r="H1604" t="s">
        <v>39</v>
      </c>
      <c r="I1604" t="s">
        <v>5941</v>
      </c>
    </row>
    <row r="1605" spans="1:9" x14ac:dyDescent="0.25">
      <c r="A1605" t="str">
        <f>"000822047"</f>
        <v>000822047</v>
      </c>
      <c r="B1605" t="s">
        <v>5942</v>
      </c>
      <c r="D1605" t="s">
        <v>5943</v>
      </c>
      <c r="G1605" t="s">
        <v>64</v>
      </c>
      <c r="H1605" t="s">
        <v>39</v>
      </c>
      <c r="I1605" t="s">
        <v>5944</v>
      </c>
    </row>
    <row r="1606" spans="1:9" x14ac:dyDescent="0.25">
      <c r="A1606" t="str">
        <f>"000792341"</f>
        <v>000792341</v>
      </c>
      <c r="B1606" t="s">
        <v>5945</v>
      </c>
      <c r="D1606" t="s">
        <v>5946</v>
      </c>
      <c r="G1606" t="s">
        <v>2068</v>
      </c>
      <c r="H1606" t="s">
        <v>182</v>
      </c>
      <c r="I1606" t="s">
        <v>5947</v>
      </c>
    </row>
    <row r="1607" spans="1:9" x14ac:dyDescent="0.25">
      <c r="A1607" t="str">
        <f>"000819712"</f>
        <v>000819712</v>
      </c>
      <c r="B1607" t="s">
        <v>5948</v>
      </c>
      <c r="D1607" t="s">
        <v>5949</v>
      </c>
      <c r="G1607" t="s">
        <v>64</v>
      </c>
      <c r="H1607" t="s">
        <v>39</v>
      </c>
      <c r="I1607" t="s">
        <v>5950</v>
      </c>
    </row>
    <row r="1608" spans="1:9" x14ac:dyDescent="0.25">
      <c r="A1608" t="str">
        <f>"000819805"</f>
        <v>000819805</v>
      </c>
      <c r="B1608" t="s">
        <v>5951</v>
      </c>
      <c r="D1608" t="s">
        <v>5952</v>
      </c>
      <c r="G1608" t="s">
        <v>1805</v>
      </c>
      <c r="H1608" t="s">
        <v>513</v>
      </c>
      <c r="I1608" t="s">
        <v>5953</v>
      </c>
    </row>
    <row r="1609" spans="1:9" x14ac:dyDescent="0.25">
      <c r="A1609" t="str">
        <f>"000843150"</f>
        <v>000843150</v>
      </c>
      <c r="B1609" t="s">
        <v>5954</v>
      </c>
      <c r="D1609" t="s">
        <v>5955</v>
      </c>
      <c r="G1609" t="s">
        <v>5956</v>
      </c>
      <c r="H1609" t="s">
        <v>13</v>
      </c>
      <c r="I1609" t="s">
        <v>5957</v>
      </c>
    </row>
    <row r="1610" spans="1:9" x14ac:dyDescent="0.25">
      <c r="A1610" t="str">
        <f>"000884356"</f>
        <v>000884356</v>
      </c>
      <c r="B1610" t="s">
        <v>5958</v>
      </c>
      <c r="D1610" t="s">
        <v>5959</v>
      </c>
      <c r="G1610" t="s">
        <v>2592</v>
      </c>
      <c r="H1610" t="s">
        <v>39</v>
      </c>
      <c r="I1610" t="s">
        <v>5960</v>
      </c>
    </row>
    <row r="1611" spans="1:9" x14ac:dyDescent="0.25">
      <c r="A1611" t="str">
        <f>"000896117"</f>
        <v>000896117</v>
      </c>
      <c r="B1611" t="s">
        <v>5961</v>
      </c>
      <c r="D1611" t="s">
        <v>5962</v>
      </c>
      <c r="G1611" t="s">
        <v>5963</v>
      </c>
      <c r="H1611" t="s">
        <v>39</v>
      </c>
      <c r="I1611" t="s">
        <v>5964</v>
      </c>
    </row>
    <row r="1612" spans="1:9" x14ac:dyDescent="0.25">
      <c r="A1612" t="str">
        <f>"000905890"</f>
        <v>000905890</v>
      </c>
      <c r="B1612" t="s">
        <v>5965</v>
      </c>
      <c r="D1612" t="s">
        <v>5966</v>
      </c>
      <c r="G1612" t="s">
        <v>587</v>
      </c>
      <c r="H1612" t="s">
        <v>296</v>
      </c>
      <c r="I1612" t="s">
        <v>5967</v>
      </c>
    </row>
    <row r="1613" spans="1:9" x14ac:dyDescent="0.25">
      <c r="A1613" t="str">
        <f>"000909612"</f>
        <v>000909612</v>
      </c>
      <c r="B1613" t="s">
        <v>5968</v>
      </c>
      <c r="D1613" t="s">
        <v>5969</v>
      </c>
      <c r="E1613" t="s">
        <v>5970</v>
      </c>
      <c r="G1613" t="s">
        <v>64</v>
      </c>
      <c r="H1613" t="s">
        <v>39</v>
      </c>
      <c r="I1613" t="s">
        <v>5971</v>
      </c>
    </row>
    <row r="1614" spans="1:9" x14ac:dyDescent="0.25">
      <c r="A1614" t="str">
        <f>"000950800"</f>
        <v>000950800</v>
      </c>
      <c r="B1614" t="s">
        <v>5972</v>
      </c>
      <c r="D1614" t="s">
        <v>5973</v>
      </c>
      <c r="G1614" t="s">
        <v>591</v>
      </c>
      <c r="H1614" t="s">
        <v>39</v>
      </c>
      <c r="I1614" t="s">
        <v>5974</v>
      </c>
    </row>
    <row r="1615" spans="1:9" x14ac:dyDescent="0.25">
      <c r="A1615" t="str">
        <f>"000918373"</f>
        <v>000918373</v>
      </c>
      <c r="B1615" t="s">
        <v>5975</v>
      </c>
      <c r="D1615" t="s">
        <v>5976</v>
      </c>
      <c r="G1615" t="s">
        <v>5977</v>
      </c>
      <c r="H1615" t="s">
        <v>182</v>
      </c>
      <c r="I1615" t="s">
        <v>5978</v>
      </c>
    </row>
    <row r="1616" spans="1:9" x14ac:dyDescent="0.25">
      <c r="A1616" t="str">
        <f>"001028113"</f>
        <v>001028113</v>
      </c>
      <c r="B1616" t="s">
        <v>5979</v>
      </c>
      <c r="D1616" t="s">
        <v>5980</v>
      </c>
      <c r="G1616" t="s">
        <v>5981</v>
      </c>
      <c r="H1616" t="s">
        <v>152</v>
      </c>
      <c r="I1616" t="s">
        <v>5982</v>
      </c>
    </row>
    <row r="1617" spans="1:9" x14ac:dyDescent="0.25">
      <c r="A1617" t="str">
        <f>"001016015"</f>
        <v>001016015</v>
      </c>
      <c r="B1617" t="s">
        <v>5983</v>
      </c>
      <c r="D1617" t="s">
        <v>5984</v>
      </c>
      <c r="E1617" t="s">
        <v>5985</v>
      </c>
      <c r="G1617" t="s">
        <v>3106</v>
      </c>
      <c r="H1617" t="s">
        <v>39</v>
      </c>
      <c r="I1617" t="s">
        <v>5986</v>
      </c>
    </row>
    <row r="1618" spans="1:9" x14ac:dyDescent="0.25">
      <c r="A1618" t="str">
        <f>"001044508"</f>
        <v>001044508</v>
      </c>
      <c r="B1618" t="s">
        <v>5987</v>
      </c>
      <c r="D1618" t="s">
        <v>5988</v>
      </c>
      <c r="G1618" t="s">
        <v>5989</v>
      </c>
      <c r="H1618" t="s">
        <v>858</v>
      </c>
      <c r="I1618" t="s">
        <v>5990</v>
      </c>
    </row>
    <row r="1619" spans="1:9" x14ac:dyDescent="0.25">
      <c r="A1619" t="str">
        <f>"001074769"</f>
        <v>001074769</v>
      </c>
      <c r="B1619" t="s">
        <v>5991</v>
      </c>
      <c r="D1619" t="s">
        <v>5992</v>
      </c>
      <c r="G1619" t="s">
        <v>64</v>
      </c>
      <c r="H1619" t="s">
        <v>39</v>
      </c>
      <c r="I1619" t="s">
        <v>5993</v>
      </c>
    </row>
    <row r="1620" spans="1:9" x14ac:dyDescent="0.25">
      <c r="A1620" t="str">
        <f>"001074771"</f>
        <v>001074771</v>
      </c>
      <c r="B1620" t="s">
        <v>5994</v>
      </c>
      <c r="D1620" t="s">
        <v>5995</v>
      </c>
      <c r="E1620" t="s">
        <v>5996</v>
      </c>
      <c r="F1620" t="s">
        <v>5997</v>
      </c>
      <c r="G1620" t="s">
        <v>5321</v>
      </c>
      <c r="I1620" t="s">
        <v>1761</v>
      </c>
    </row>
    <row r="1621" spans="1:9" x14ac:dyDescent="0.25">
      <c r="A1621" t="str">
        <f>"001030583"</f>
        <v>001030583</v>
      </c>
      <c r="B1621" t="s">
        <v>5998</v>
      </c>
      <c r="D1621" t="s">
        <v>5999</v>
      </c>
      <c r="E1621" t="s">
        <v>2113</v>
      </c>
      <c r="G1621" t="s">
        <v>64</v>
      </c>
      <c r="H1621" t="s">
        <v>39</v>
      </c>
      <c r="I1621" t="s">
        <v>6000</v>
      </c>
    </row>
    <row r="1622" spans="1:9" x14ac:dyDescent="0.25">
      <c r="A1622" t="str">
        <f>"001041445"</f>
        <v>001041445</v>
      </c>
      <c r="B1622" t="s">
        <v>6001</v>
      </c>
      <c r="D1622" t="s">
        <v>6002</v>
      </c>
      <c r="E1622" t="s">
        <v>6003</v>
      </c>
      <c r="G1622" t="s">
        <v>6004</v>
      </c>
      <c r="H1622" t="s">
        <v>1012</v>
      </c>
      <c r="I1622" t="s">
        <v>6005</v>
      </c>
    </row>
    <row r="1623" spans="1:9" x14ac:dyDescent="0.25">
      <c r="A1623" t="str">
        <f>"001041917"</f>
        <v>001041917</v>
      </c>
      <c r="B1623" t="s">
        <v>6006</v>
      </c>
      <c r="D1623" t="s">
        <v>6007</v>
      </c>
      <c r="E1623" t="s">
        <v>6008</v>
      </c>
      <c r="G1623" t="s">
        <v>64</v>
      </c>
      <c r="H1623" t="s">
        <v>39</v>
      </c>
      <c r="I1623" t="s">
        <v>6009</v>
      </c>
    </row>
    <row r="1624" spans="1:9" x14ac:dyDescent="0.25">
      <c r="A1624" t="str">
        <f>"000991952"</f>
        <v>000991952</v>
      </c>
      <c r="B1624" t="s">
        <v>6010</v>
      </c>
      <c r="D1624" t="s">
        <v>6011</v>
      </c>
      <c r="G1624" t="s">
        <v>2180</v>
      </c>
      <c r="H1624" t="s">
        <v>827</v>
      </c>
      <c r="I1624" t="s">
        <v>6012</v>
      </c>
    </row>
    <row r="1625" spans="1:9" x14ac:dyDescent="0.25">
      <c r="A1625" t="str">
        <f>"000984722"</f>
        <v>000984722</v>
      </c>
      <c r="B1625" t="s">
        <v>6013</v>
      </c>
      <c r="D1625" t="s">
        <v>6014</v>
      </c>
      <c r="G1625" t="s">
        <v>3056</v>
      </c>
      <c r="H1625" t="s">
        <v>1012</v>
      </c>
      <c r="I1625" t="s">
        <v>6015</v>
      </c>
    </row>
    <row r="1626" spans="1:9" x14ac:dyDescent="0.25">
      <c r="A1626" t="str">
        <f>"001035580"</f>
        <v>001035580</v>
      </c>
      <c r="B1626" t="s">
        <v>6016</v>
      </c>
      <c r="D1626" t="s">
        <v>6017</v>
      </c>
      <c r="E1626" t="s">
        <v>6018</v>
      </c>
      <c r="G1626" t="s">
        <v>64</v>
      </c>
      <c r="H1626" t="s">
        <v>39</v>
      </c>
      <c r="I1626" t="s">
        <v>6019</v>
      </c>
    </row>
    <row r="1627" spans="1:9" x14ac:dyDescent="0.25">
      <c r="A1627" t="str">
        <f>"001024847"</f>
        <v>001024847</v>
      </c>
      <c r="B1627" t="s">
        <v>6020</v>
      </c>
      <c r="D1627" t="s">
        <v>6021</v>
      </c>
      <c r="G1627" t="s">
        <v>64</v>
      </c>
      <c r="H1627" t="s">
        <v>39</v>
      </c>
      <c r="I1627" t="s">
        <v>6022</v>
      </c>
    </row>
    <row r="1628" spans="1:9" x14ac:dyDescent="0.25">
      <c r="A1628" t="str">
        <f>"000999644"</f>
        <v>000999644</v>
      </c>
      <c r="B1628" t="s">
        <v>6023</v>
      </c>
      <c r="D1628" t="s">
        <v>6024</v>
      </c>
      <c r="E1628" t="s">
        <v>6025</v>
      </c>
      <c r="G1628" t="s">
        <v>64</v>
      </c>
      <c r="H1628" t="s">
        <v>39</v>
      </c>
      <c r="I1628" t="s">
        <v>6026</v>
      </c>
    </row>
    <row r="1629" spans="1:9" x14ac:dyDescent="0.25">
      <c r="A1629" t="str">
        <f>"001040701"</f>
        <v>001040701</v>
      </c>
      <c r="B1629" t="s">
        <v>6027</v>
      </c>
      <c r="D1629" t="s">
        <v>6028</v>
      </c>
      <c r="G1629" t="s">
        <v>6029</v>
      </c>
      <c r="H1629" t="s">
        <v>84</v>
      </c>
      <c r="I1629" t="s">
        <v>6030</v>
      </c>
    </row>
    <row r="1630" spans="1:9" x14ac:dyDescent="0.25">
      <c r="A1630" t="str">
        <f>"001021940"</f>
        <v>001021940</v>
      </c>
      <c r="B1630" t="s">
        <v>6031</v>
      </c>
      <c r="D1630" t="s">
        <v>6032</v>
      </c>
      <c r="E1630" t="s">
        <v>6033</v>
      </c>
      <c r="G1630" t="s">
        <v>6034</v>
      </c>
      <c r="H1630" t="s">
        <v>296</v>
      </c>
      <c r="I1630" t="s">
        <v>6035</v>
      </c>
    </row>
    <row r="1631" spans="1:9" x14ac:dyDescent="0.25">
      <c r="A1631" t="str">
        <f>"000987088"</f>
        <v>000987088</v>
      </c>
      <c r="B1631" t="s">
        <v>6036</v>
      </c>
      <c r="D1631" t="s">
        <v>3161</v>
      </c>
      <c r="G1631" t="s">
        <v>64</v>
      </c>
      <c r="H1631" t="s">
        <v>39</v>
      </c>
      <c r="I1631" t="s">
        <v>6037</v>
      </c>
    </row>
    <row r="1632" spans="1:9" x14ac:dyDescent="0.25">
      <c r="A1632" t="str">
        <f>"001002255"</f>
        <v>001002255</v>
      </c>
      <c r="B1632" t="s">
        <v>6038</v>
      </c>
      <c r="D1632" t="s">
        <v>6039</v>
      </c>
      <c r="G1632" t="s">
        <v>170</v>
      </c>
      <c r="H1632" t="s">
        <v>171</v>
      </c>
      <c r="I1632" t="s">
        <v>6040</v>
      </c>
    </row>
    <row r="1633" spans="1:9" x14ac:dyDescent="0.25">
      <c r="A1633" t="str">
        <f>"001016164"</f>
        <v>001016164</v>
      </c>
      <c r="B1633" t="s">
        <v>6041</v>
      </c>
      <c r="D1633" t="s">
        <v>6042</v>
      </c>
      <c r="G1633" t="s">
        <v>60</v>
      </c>
      <c r="H1633" t="s">
        <v>28</v>
      </c>
      <c r="I1633" t="s">
        <v>6043</v>
      </c>
    </row>
    <row r="1634" spans="1:9" x14ac:dyDescent="0.25">
      <c r="A1634" t="str">
        <f>"001011995"</f>
        <v>001011995</v>
      </c>
      <c r="B1634" t="s">
        <v>6044</v>
      </c>
      <c r="D1634" t="s">
        <v>6045</v>
      </c>
      <c r="G1634" t="s">
        <v>723</v>
      </c>
      <c r="H1634" t="s">
        <v>468</v>
      </c>
      <c r="I1634" t="s">
        <v>6046</v>
      </c>
    </row>
    <row r="1635" spans="1:9" x14ac:dyDescent="0.25">
      <c r="A1635" t="str">
        <f>"001037736"</f>
        <v>001037736</v>
      </c>
      <c r="B1635" t="s">
        <v>6047</v>
      </c>
      <c r="D1635" t="s">
        <v>6048</v>
      </c>
      <c r="G1635" t="s">
        <v>291</v>
      </c>
      <c r="H1635" t="s">
        <v>182</v>
      </c>
      <c r="I1635" t="s">
        <v>6049</v>
      </c>
    </row>
    <row r="1636" spans="1:9" x14ac:dyDescent="0.25">
      <c r="A1636" t="str">
        <f>"001038031"</f>
        <v>001038031</v>
      </c>
      <c r="B1636" t="s">
        <v>6050</v>
      </c>
      <c r="D1636" t="s">
        <v>6051</v>
      </c>
      <c r="G1636" t="s">
        <v>3299</v>
      </c>
      <c r="H1636" t="s">
        <v>166</v>
      </c>
      <c r="I1636" t="s">
        <v>6052</v>
      </c>
    </row>
    <row r="1637" spans="1:9" x14ac:dyDescent="0.25">
      <c r="A1637" t="str">
        <f>"001040553"</f>
        <v>001040553</v>
      </c>
      <c r="B1637" t="s">
        <v>6053</v>
      </c>
      <c r="D1637" t="s">
        <v>6054</v>
      </c>
      <c r="G1637" t="s">
        <v>253</v>
      </c>
      <c r="H1637" t="s">
        <v>34</v>
      </c>
      <c r="I1637" t="s">
        <v>6055</v>
      </c>
    </row>
    <row r="1638" spans="1:9" x14ac:dyDescent="0.25">
      <c r="A1638" t="str">
        <f>"001002320"</f>
        <v>001002320</v>
      </c>
      <c r="B1638" t="s">
        <v>6056</v>
      </c>
      <c r="D1638" t="s">
        <v>6057</v>
      </c>
      <c r="E1638" t="s">
        <v>6058</v>
      </c>
      <c r="G1638" t="s">
        <v>64</v>
      </c>
      <c r="H1638" t="s">
        <v>39</v>
      </c>
      <c r="I1638" t="s">
        <v>6059</v>
      </c>
    </row>
    <row r="1639" spans="1:9" x14ac:dyDescent="0.25">
      <c r="A1639" t="str">
        <f>"001003382"</f>
        <v>001003382</v>
      </c>
      <c r="B1639" t="s">
        <v>6060</v>
      </c>
      <c r="D1639" t="s">
        <v>6061</v>
      </c>
      <c r="G1639" t="s">
        <v>60</v>
      </c>
      <c r="H1639" t="s">
        <v>28</v>
      </c>
      <c r="I1639" t="s">
        <v>6062</v>
      </c>
    </row>
    <row r="1640" spans="1:9" x14ac:dyDescent="0.25">
      <c r="A1640" t="str">
        <f>"001033108"</f>
        <v>001033108</v>
      </c>
      <c r="B1640" t="s">
        <v>6063</v>
      </c>
      <c r="D1640" t="s">
        <v>6064</v>
      </c>
      <c r="G1640" t="s">
        <v>64</v>
      </c>
      <c r="H1640" t="s">
        <v>39</v>
      </c>
      <c r="I1640" t="s">
        <v>6065</v>
      </c>
    </row>
    <row r="1641" spans="1:9" x14ac:dyDescent="0.25">
      <c r="A1641" t="str">
        <f>"001033113"</f>
        <v>001033113</v>
      </c>
      <c r="B1641" t="s">
        <v>6066</v>
      </c>
      <c r="D1641" t="s">
        <v>6067</v>
      </c>
      <c r="E1641" t="s">
        <v>6068</v>
      </c>
      <c r="G1641" t="s">
        <v>64</v>
      </c>
      <c r="H1641" t="s">
        <v>39</v>
      </c>
      <c r="I1641" t="s">
        <v>6069</v>
      </c>
    </row>
    <row r="1642" spans="1:9" x14ac:dyDescent="0.25">
      <c r="A1642" t="str">
        <f>"001044678"</f>
        <v>001044678</v>
      </c>
      <c r="B1642" t="s">
        <v>6070</v>
      </c>
      <c r="D1642" t="s">
        <v>6071</v>
      </c>
      <c r="G1642" t="s">
        <v>64</v>
      </c>
      <c r="H1642" t="s">
        <v>39</v>
      </c>
      <c r="I1642" t="s">
        <v>6072</v>
      </c>
    </row>
    <row r="1643" spans="1:9" x14ac:dyDescent="0.25">
      <c r="A1643" t="str">
        <f>"000954189"</f>
        <v>000954189</v>
      </c>
      <c r="B1643" t="s">
        <v>6073</v>
      </c>
      <c r="D1643" t="s">
        <v>6074</v>
      </c>
      <c r="E1643" t="s">
        <v>6075</v>
      </c>
      <c r="F1643" t="s">
        <v>6076</v>
      </c>
      <c r="G1643" t="s">
        <v>64</v>
      </c>
      <c r="H1643" t="s">
        <v>39</v>
      </c>
      <c r="I1643" t="s">
        <v>6077</v>
      </c>
    </row>
    <row r="1644" spans="1:9" x14ac:dyDescent="0.25">
      <c r="A1644" t="str">
        <f>"001006449"</f>
        <v>001006449</v>
      </c>
      <c r="B1644" t="s">
        <v>6078</v>
      </c>
      <c r="D1644" t="s">
        <v>6079</v>
      </c>
      <c r="E1644" t="s">
        <v>6080</v>
      </c>
      <c r="G1644" t="s">
        <v>60</v>
      </c>
      <c r="H1644" t="s">
        <v>28</v>
      </c>
      <c r="I1644" t="s">
        <v>6081</v>
      </c>
    </row>
    <row r="1645" spans="1:9" x14ac:dyDescent="0.25">
      <c r="A1645" t="str">
        <f>"001041313"</f>
        <v>001041313</v>
      </c>
      <c r="B1645" t="s">
        <v>6082</v>
      </c>
      <c r="D1645" t="s">
        <v>6083</v>
      </c>
      <c r="E1645" t="s">
        <v>6084</v>
      </c>
      <c r="G1645" t="s">
        <v>6085</v>
      </c>
      <c r="H1645" t="s">
        <v>39</v>
      </c>
      <c r="I1645" t="s">
        <v>6086</v>
      </c>
    </row>
    <row r="1646" spans="1:9" x14ac:dyDescent="0.25">
      <c r="A1646" t="str">
        <f>"001012249"</f>
        <v>001012249</v>
      </c>
      <c r="B1646" t="s">
        <v>6087</v>
      </c>
      <c r="D1646" t="s">
        <v>6088</v>
      </c>
      <c r="G1646" t="s">
        <v>3029</v>
      </c>
      <c r="H1646" t="s">
        <v>827</v>
      </c>
      <c r="I1646" t="s">
        <v>6089</v>
      </c>
    </row>
    <row r="1647" spans="1:9" x14ac:dyDescent="0.25">
      <c r="A1647" t="str">
        <f>"001004056"</f>
        <v>001004056</v>
      </c>
      <c r="B1647" t="s">
        <v>6090</v>
      </c>
      <c r="D1647" t="s">
        <v>6091</v>
      </c>
      <c r="G1647" t="s">
        <v>64</v>
      </c>
      <c r="H1647" t="s">
        <v>39</v>
      </c>
      <c r="I1647" t="s">
        <v>6092</v>
      </c>
    </row>
    <row r="1648" spans="1:9" x14ac:dyDescent="0.25">
      <c r="A1648" t="str">
        <f>"001018797"</f>
        <v>001018797</v>
      </c>
      <c r="B1648" t="s">
        <v>6093</v>
      </c>
      <c r="D1648" t="s">
        <v>6094</v>
      </c>
      <c r="E1648" t="s">
        <v>6095</v>
      </c>
      <c r="G1648" t="s">
        <v>6096</v>
      </c>
      <c r="H1648" t="s">
        <v>39</v>
      </c>
      <c r="I1648" t="s">
        <v>6097</v>
      </c>
    </row>
    <row r="1649" spans="1:9" x14ac:dyDescent="0.25">
      <c r="A1649" t="str">
        <f>"001032814"</f>
        <v>001032814</v>
      </c>
      <c r="B1649" t="s">
        <v>6098</v>
      </c>
      <c r="D1649" t="s">
        <v>6099</v>
      </c>
      <c r="G1649" t="s">
        <v>574</v>
      </c>
      <c r="H1649" t="s">
        <v>75</v>
      </c>
      <c r="I1649" t="s">
        <v>6100</v>
      </c>
    </row>
    <row r="1650" spans="1:9" x14ac:dyDescent="0.25">
      <c r="A1650" t="str">
        <f>"001038099"</f>
        <v>001038099</v>
      </c>
      <c r="B1650" t="s">
        <v>6101</v>
      </c>
      <c r="D1650" t="s">
        <v>6102</v>
      </c>
      <c r="G1650" t="s">
        <v>6103</v>
      </c>
      <c r="H1650" t="s">
        <v>28</v>
      </c>
      <c r="I1650" t="s">
        <v>6104</v>
      </c>
    </row>
    <row r="1651" spans="1:9" x14ac:dyDescent="0.25">
      <c r="A1651" t="str">
        <f>"000951489"</f>
        <v>000951489</v>
      </c>
      <c r="B1651" t="s">
        <v>6105</v>
      </c>
      <c r="D1651" t="s">
        <v>6106</v>
      </c>
      <c r="E1651" t="s">
        <v>6107</v>
      </c>
      <c r="G1651" t="s">
        <v>64</v>
      </c>
      <c r="H1651" t="s">
        <v>39</v>
      </c>
      <c r="I1651" t="s">
        <v>6108</v>
      </c>
    </row>
    <row r="1652" spans="1:9" x14ac:dyDescent="0.25">
      <c r="A1652" t="str">
        <f>"001024976"</f>
        <v>001024976</v>
      </c>
      <c r="B1652" t="s">
        <v>6109</v>
      </c>
      <c r="D1652" t="s">
        <v>6110</v>
      </c>
      <c r="G1652" t="s">
        <v>64</v>
      </c>
      <c r="H1652" t="s">
        <v>39</v>
      </c>
      <c r="I1652" t="s">
        <v>6111</v>
      </c>
    </row>
    <row r="1653" spans="1:9" x14ac:dyDescent="0.25">
      <c r="A1653" t="str">
        <f>"000951758"</f>
        <v>000951758</v>
      </c>
      <c r="B1653" t="s">
        <v>6112</v>
      </c>
      <c r="D1653" t="s">
        <v>6113</v>
      </c>
      <c r="G1653" t="s">
        <v>3377</v>
      </c>
      <c r="H1653" t="s">
        <v>263</v>
      </c>
      <c r="I1653" t="s">
        <v>6114</v>
      </c>
    </row>
    <row r="1654" spans="1:9" x14ac:dyDescent="0.25">
      <c r="A1654" t="str">
        <f>"000957593"</f>
        <v>000957593</v>
      </c>
      <c r="B1654" t="s">
        <v>6115</v>
      </c>
      <c r="D1654" t="s">
        <v>6116</v>
      </c>
      <c r="G1654" t="s">
        <v>291</v>
      </c>
      <c r="H1654" t="s">
        <v>182</v>
      </c>
      <c r="I1654" t="s">
        <v>6117</v>
      </c>
    </row>
    <row r="1655" spans="1:9" x14ac:dyDescent="0.25">
      <c r="A1655" t="str">
        <f>"000999674"</f>
        <v>000999674</v>
      </c>
      <c r="B1655" t="s">
        <v>6118</v>
      </c>
      <c r="D1655" t="s">
        <v>6119</v>
      </c>
      <c r="G1655" t="s">
        <v>591</v>
      </c>
      <c r="H1655" t="s">
        <v>39</v>
      </c>
      <c r="I1655" t="s">
        <v>6120</v>
      </c>
    </row>
    <row r="1656" spans="1:9" x14ac:dyDescent="0.25">
      <c r="A1656" t="str">
        <f>"001043314"</f>
        <v>001043314</v>
      </c>
      <c r="B1656" t="s">
        <v>6121</v>
      </c>
      <c r="D1656" t="s">
        <v>6122</v>
      </c>
      <c r="E1656" t="s">
        <v>6123</v>
      </c>
      <c r="G1656" t="s">
        <v>64</v>
      </c>
      <c r="H1656" t="s">
        <v>39</v>
      </c>
      <c r="I1656" t="s">
        <v>6124</v>
      </c>
    </row>
    <row r="1657" spans="1:9" x14ac:dyDescent="0.25">
      <c r="A1657" t="str">
        <f>"001013437"</f>
        <v>001013437</v>
      </c>
      <c r="B1657" t="s">
        <v>6125</v>
      </c>
      <c r="D1657" t="s">
        <v>6126</v>
      </c>
      <c r="G1657" t="s">
        <v>291</v>
      </c>
      <c r="H1657" t="s">
        <v>182</v>
      </c>
      <c r="I1657" t="s">
        <v>6127</v>
      </c>
    </row>
    <row r="1658" spans="1:9" x14ac:dyDescent="0.25">
      <c r="A1658" t="str">
        <f>"001015552"</f>
        <v>001015552</v>
      </c>
      <c r="B1658" t="s">
        <v>6128</v>
      </c>
      <c r="D1658" t="s">
        <v>6129</v>
      </c>
      <c r="G1658" t="s">
        <v>64</v>
      </c>
      <c r="H1658" t="s">
        <v>39</v>
      </c>
      <c r="I1658" t="s">
        <v>6130</v>
      </c>
    </row>
    <row r="1659" spans="1:9" x14ac:dyDescent="0.25">
      <c r="A1659" t="str">
        <f>"001063950"</f>
        <v>001063950</v>
      </c>
      <c r="B1659" t="s">
        <v>6131</v>
      </c>
      <c r="D1659" t="s">
        <v>6132</v>
      </c>
      <c r="G1659" t="s">
        <v>6133</v>
      </c>
      <c r="H1659" t="s">
        <v>809</v>
      </c>
      <c r="I1659" t="s">
        <v>6134</v>
      </c>
    </row>
    <row r="1660" spans="1:9" x14ac:dyDescent="0.25">
      <c r="A1660" t="str">
        <f>"000967964"</f>
        <v>000967964</v>
      </c>
      <c r="B1660" t="s">
        <v>6135</v>
      </c>
      <c r="D1660" t="s">
        <v>6136</v>
      </c>
      <c r="G1660" t="s">
        <v>64</v>
      </c>
      <c r="H1660" t="s">
        <v>39</v>
      </c>
      <c r="I1660" t="s">
        <v>6137</v>
      </c>
    </row>
    <row r="1661" spans="1:9" x14ac:dyDescent="0.25">
      <c r="A1661" t="str">
        <f>"001076169"</f>
        <v>001076169</v>
      </c>
      <c r="B1661" t="s">
        <v>6138</v>
      </c>
      <c r="D1661" t="s">
        <v>6139</v>
      </c>
      <c r="E1661" t="s">
        <v>6140</v>
      </c>
      <c r="G1661" t="s">
        <v>965</v>
      </c>
      <c r="H1661" t="s">
        <v>39</v>
      </c>
      <c r="I1661" t="s">
        <v>6141</v>
      </c>
    </row>
    <row r="1662" spans="1:9" x14ac:dyDescent="0.25">
      <c r="A1662" t="str">
        <f>"001010376"</f>
        <v>001010376</v>
      </c>
      <c r="B1662" t="s">
        <v>6142</v>
      </c>
      <c r="D1662" t="s">
        <v>6143</v>
      </c>
      <c r="E1662" t="s">
        <v>2345</v>
      </c>
      <c r="G1662" t="s">
        <v>136</v>
      </c>
      <c r="H1662" t="s">
        <v>28</v>
      </c>
      <c r="I1662" t="s">
        <v>6144</v>
      </c>
    </row>
    <row r="1663" spans="1:9" x14ac:dyDescent="0.25">
      <c r="A1663" t="str">
        <f>"001001051"</f>
        <v>001001051</v>
      </c>
      <c r="B1663" t="s">
        <v>6145</v>
      </c>
      <c r="D1663" t="s">
        <v>6146</v>
      </c>
      <c r="E1663" t="s">
        <v>6147</v>
      </c>
      <c r="G1663" t="s">
        <v>214</v>
      </c>
      <c r="H1663" t="s">
        <v>120</v>
      </c>
      <c r="I1663" t="s">
        <v>6148</v>
      </c>
    </row>
    <row r="1664" spans="1:9" x14ac:dyDescent="0.25">
      <c r="A1664" t="str">
        <f>"000959374"</f>
        <v>000959374</v>
      </c>
      <c r="B1664" t="s">
        <v>6149</v>
      </c>
      <c r="D1664" t="s">
        <v>6150</v>
      </c>
      <c r="G1664" t="s">
        <v>90</v>
      </c>
      <c r="H1664" t="s">
        <v>39</v>
      </c>
      <c r="I1664" t="s">
        <v>6151</v>
      </c>
    </row>
    <row r="1665" spans="1:9" x14ac:dyDescent="0.25">
      <c r="A1665" t="str">
        <f>"001028667"</f>
        <v>001028667</v>
      </c>
      <c r="B1665" t="s">
        <v>6152</v>
      </c>
      <c r="D1665" t="s">
        <v>6153</v>
      </c>
      <c r="E1665" t="s">
        <v>6154</v>
      </c>
      <c r="F1665" t="s">
        <v>6155</v>
      </c>
      <c r="G1665" t="s">
        <v>12</v>
      </c>
      <c r="H1665" t="s">
        <v>13</v>
      </c>
      <c r="I1665" t="s">
        <v>6156</v>
      </c>
    </row>
    <row r="1666" spans="1:9" x14ac:dyDescent="0.25">
      <c r="A1666" t="str">
        <f>"000998966"</f>
        <v>000998966</v>
      </c>
      <c r="B1666" t="s">
        <v>6157</v>
      </c>
      <c r="D1666" t="s">
        <v>6158</v>
      </c>
      <c r="G1666" t="s">
        <v>38</v>
      </c>
      <c r="H1666" t="s">
        <v>39</v>
      </c>
      <c r="I1666" t="s">
        <v>6159</v>
      </c>
    </row>
    <row r="1667" spans="1:9" x14ac:dyDescent="0.25">
      <c r="A1667" t="str">
        <f>"000998969"</f>
        <v>000998969</v>
      </c>
      <c r="B1667" t="s">
        <v>6160</v>
      </c>
      <c r="D1667" t="s">
        <v>6161</v>
      </c>
      <c r="G1667" t="s">
        <v>6162</v>
      </c>
      <c r="H1667" t="s">
        <v>39</v>
      </c>
      <c r="I1667" t="s">
        <v>6163</v>
      </c>
    </row>
    <row r="1668" spans="1:9" x14ac:dyDescent="0.25">
      <c r="A1668" t="str">
        <f>"001018144"</f>
        <v>001018144</v>
      </c>
      <c r="B1668" t="s">
        <v>6164</v>
      </c>
      <c r="D1668" t="s">
        <v>6165</v>
      </c>
      <c r="G1668" t="s">
        <v>6166</v>
      </c>
      <c r="I1668" t="s">
        <v>6167</v>
      </c>
    </row>
    <row r="1669" spans="1:9" x14ac:dyDescent="0.25">
      <c r="A1669" t="str">
        <f>"001063502"</f>
        <v>001063502</v>
      </c>
      <c r="B1669" t="s">
        <v>6168</v>
      </c>
      <c r="D1669" t="s">
        <v>6169</v>
      </c>
      <c r="G1669" t="s">
        <v>6170</v>
      </c>
      <c r="H1669" t="s">
        <v>263</v>
      </c>
      <c r="I1669" t="s">
        <v>6171</v>
      </c>
    </row>
    <row r="1670" spans="1:9" x14ac:dyDescent="0.25">
      <c r="A1670" t="str">
        <f>"001019871"</f>
        <v>001019871</v>
      </c>
      <c r="B1670" t="s">
        <v>6172</v>
      </c>
      <c r="D1670" t="s">
        <v>6173</v>
      </c>
      <c r="E1670" t="s">
        <v>6174</v>
      </c>
      <c r="G1670" t="s">
        <v>291</v>
      </c>
      <c r="H1670" t="s">
        <v>182</v>
      </c>
      <c r="I1670" t="s">
        <v>6175</v>
      </c>
    </row>
    <row r="1671" spans="1:9" x14ac:dyDescent="0.25">
      <c r="A1671" t="str">
        <f>"000968249"</f>
        <v>000968249</v>
      </c>
      <c r="B1671" t="s">
        <v>6176</v>
      </c>
      <c r="D1671" t="s">
        <v>6177</v>
      </c>
      <c r="G1671" t="s">
        <v>6178</v>
      </c>
      <c r="I1671">
        <v>100083</v>
      </c>
    </row>
    <row r="1672" spans="1:9" x14ac:dyDescent="0.25">
      <c r="A1672" t="str">
        <f>"001028890"</f>
        <v>001028890</v>
      </c>
      <c r="B1672" t="s">
        <v>6179</v>
      </c>
      <c r="D1672" t="s">
        <v>4971</v>
      </c>
      <c r="G1672" t="s">
        <v>170</v>
      </c>
      <c r="H1672" t="s">
        <v>171</v>
      </c>
      <c r="I1672" t="s">
        <v>4972</v>
      </c>
    </row>
    <row r="1673" spans="1:9" x14ac:dyDescent="0.25">
      <c r="A1673" t="str">
        <f>"000984309"</f>
        <v>000984309</v>
      </c>
      <c r="B1673" t="s">
        <v>6180</v>
      </c>
      <c r="D1673" t="s">
        <v>6181</v>
      </c>
      <c r="G1673" t="s">
        <v>64</v>
      </c>
      <c r="H1673" t="s">
        <v>39</v>
      </c>
      <c r="I1673" t="s">
        <v>6182</v>
      </c>
    </row>
    <row r="1674" spans="1:9" x14ac:dyDescent="0.25">
      <c r="A1674" t="str">
        <f>"001038842"</f>
        <v>001038842</v>
      </c>
      <c r="B1674" t="s">
        <v>6183</v>
      </c>
      <c r="D1674" t="s">
        <v>6184</v>
      </c>
      <c r="G1674" t="s">
        <v>6185</v>
      </c>
      <c r="H1674" t="s">
        <v>477</v>
      </c>
      <c r="I1674" t="s">
        <v>6186</v>
      </c>
    </row>
    <row r="1675" spans="1:9" x14ac:dyDescent="0.25">
      <c r="A1675" t="str">
        <f>"001002794"</f>
        <v>001002794</v>
      </c>
      <c r="B1675" t="s">
        <v>6187</v>
      </c>
      <c r="D1675" t="s">
        <v>6188</v>
      </c>
      <c r="E1675" t="s">
        <v>6189</v>
      </c>
      <c r="F1675" t="s">
        <v>6190</v>
      </c>
      <c r="G1675" t="s">
        <v>38</v>
      </c>
      <c r="H1675" t="s">
        <v>39</v>
      </c>
      <c r="I1675" t="s">
        <v>6191</v>
      </c>
    </row>
    <row r="1676" spans="1:9" x14ac:dyDescent="0.25">
      <c r="A1676" t="str">
        <f>"000987402"</f>
        <v>000987402</v>
      </c>
      <c r="B1676" t="s">
        <v>6192</v>
      </c>
      <c r="D1676" t="s">
        <v>6193</v>
      </c>
      <c r="E1676" t="s">
        <v>6194</v>
      </c>
      <c r="G1676" t="s">
        <v>574</v>
      </c>
      <c r="H1676" t="s">
        <v>75</v>
      </c>
      <c r="I1676" t="s">
        <v>6195</v>
      </c>
    </row>
    <row r="1677" spans="1:9" x14ac:dyDescent="0.25">
      <c r="A1677" t="str">
        <f>"000952653"</f>
        <v>000952653</v>
      </c>
      <c r="B1677" t="s">
        <v>6196</v>
      </c>
      <c r="D1677" t="s">
        <v>4923</v>
      </c>
      <c r="E1677" t="s">
        <v>1646</v>
      </c>
      <c r="G1677" t="s">
        <v>1647</v>
      </c>
      <c r="H1677" t="s">
        <v>84</v>
      </c>
      <c r="I1677" t="s">
        <v>6197</v>
      </c>
    </row>
    <row r="1678" spans="1:9" x14ac:dyDescent="0.25">
      <c r="A1678" t="str">
        <f>"001054952"</f>
        <v>001054952</v>
      </c>
      <c r="B1678" t="s">
        <v>6198</v>
      </c>
      <c r="D1678" t="s">
        <v>6199</v>
      </c>
      <c r="G1678" t="s">
        <v>890</v>
      </c>
      <c r="H1678" t="s">
        <v>39</v>
      </c>
      <c r="I1678" t="s">
        <v>6200</v>
      </c>
    </row>
    <row r="1679" spans="1:9" x14ac:dyDescent="0.25">
      <c r="A1679" t="str">
        <f>"000995054"</f>
        <v>000995054</v>
      </c>
      <c r="B1679" t="s">
        <v>6201</v>
      </c>
      <c r="D1679" t="s">
        <v>6202</v>
      </c>
      <c r="G1679" t="s">
        <v>6203</v>
      </c>
      <c r="H1679" t="s">
        <v>182</v>
      </c>
      <c r="I1679" t="s">
        <v>6204</v>
      </c>
    </row>
    <row r="1680" spans="1:9" x14ac:dyDescent="0.25">
      <c r="A1680" t="str">
        <f>"001005582"</f>
        <v>001005582</v>
      </c>
      <c r="B1680" t="s">
        <v>6205</v>
      </c>
      <c r="D1680" t="s">
        <v>6206</v>
      </c>
      <c r="E1680" t="s">
        <v>6207</v>
      </c>
      <c r="F1680" t="s">
        <v>6208</v>
      </c>
      <c r="G1680" t="s">
        <v>6209</v>
      </c>
      <c r="I1680">
        <v>34435</v>
      </c>
    </row>
    <row r="1681" spans="1:9" x14ac:dyDescent="0.25">
      <c r="A1681" t="str">
        <f>"001071744"</f>
        <v>001071744</v>
      </c>
      <c r="B1681" t="s">
        <v>6210</v>
      </c>
      <c r="D1681" t="s">
        <v>6211</v>
      </c>
      <c r="G1681" t="s">
        <v>6212</v>
      </c>
      <c r="H1681" t="s">
        <v>161</v>
      </c>
      <c r="I1681" t="s">
        <v>6213</v>
      </c>
    </row>
    <row r="1682" spans="1:9" x14ac:dyDescent="0.25">
      <c r="A1682" t="str">
        <f>"001013398"</f>
        <v>001013398</v>
      </c>
      <c r="B1682" t="s">
        <v>6214</v>
      </c>
      <c r="D1682" t="s">
        <v>6215</v>
      </c>
      <c r="G1682" t="s">
        <v>2616</v>
      </c>
      <c r="H1682" t="s">
        <v>131</v>
      </c>
      <c r="I1682" t="s">
        <v>6216</v>
      </c>
    </row>
    <row r="1683" spans="1:9" x14ac:dyDescent="0.25">
      <c r="A1683" t="str">
        <f>"001040596"</f>
        <v>001040596</v>
      </c>
      <c r="B1683" t="s">
        <v>6217</v>
      </c>
      <c r="D1683" t="s">
        <v>6218</v>
      </c>
      <c r="G1683" t="s">
        <v>130</v>
      </c>
      <c r="H1683" t="s">
        <v>131</v>
      </c>
      <c r="I1683" t="s">
        <v>6219</v>
      </c>
    </row>
    <row r="1684" spans="1:9" x14ac:dyDescent="0.25">
      <c r="A1684" t="str">
        <f>"001042764"</f>
        <v>001042764</v>
      </c>
      <c r="B1684" t="s">
        <v>6220</v>
      </c>
      <c r="D1684" t="s">
        <v>6221</v>
      </c>
      <c r="G1684" t="s">
        <v>60</v>
      </c>
      <c r="H1684" t="s">
        <v>28</v>
      </c>
      <c r="I1684" t="s">
        <v>6222</v>
      </c>
    </row>
    <row r="1685" spans="1:9" x14ac:dyDescent="0.25">
      <c r="A1685" t="str">
        <f>"001076601"</f>
        <v>001076601</v>
      </c>
      <c r="B1685" t="s">
        <v>6223</v>
      </c>
      <c r="D1685" t="s">
        <v>6224</v>
      </c>
      <c r="E1685" t="s">
        <v>6225</v>
      </c>
      <c r="G1685" t="s">
        <v>64</v>
      </c>
      <c r="H1685" t="s">
        <v>39</v>
      </c>
      <c r="I1685" t="s">
        <v>6226</v>
      </c>
    </row>
    <row r="1686" spans="1:9" x14ac:dyDescent="0.25">
      <c r="A1686" t="str">
        <f>"001049558"</f>
        <v>001049558</v>
      </c>
      <c r="B1686" t="s">
        <v>6227</v>
      </c>
      <c r="D1686" t="s">
        <v>6228</v>
      </c>
      <c r="G1686" t="s">
        <v>64</v>
      </c>
      <c r="H1686" t="s">
        <v>39</v>
      </c>
      <c r="I1686" t="s">
        <v>6229</v>
      </c>
    </row>
    <row r="1687" spans="1:9" x14ac:dyDescent="0.25">
      <c r="A1687" t="str">
        <f>"001049562"</f>
        <v>001049562</v>
      </c>
      <c r="B1687" t="s">
        <v>6230</v>
      </c>
      <c r="D1687" t="s">
        <v>6231</v>
      </c>
      <c r="G1687" t="s">
        <v>6232</v>
      </c>
      <c r="H1687" t="s">
        <v>6233</v>
      </c>
      <c r="I1687" t="s">
        <v>6234</v>
      </c>
    </row>
    <row r="1688" spans="1:9" x14ac:dyDescent="0.25">
      <c r="A1688" t="str">
        <f>"001070340"</f>
        <v>001070340</v>
      </c>
      <c r="B1688" t="s">
        <v>6235</v>
      </c>
      <c r="D1688" t="s">
        <v>6236</v>
      </c>
      <c r="G1688" t="s">
        <v>6237</v>
      </c>
      <c r="H1688" t="s">
        <v>131</v>
      </c>
      <c r="I1688" t="s">
        <v>6238</v>
      </c>
    </row>
    <row r="1689" spans="1:9" x14ac:dyDescent="0.25">
      <c r="A1689" t="str">
        <f>"001065859"</f>
        <v>001065859</v>
      </c>
      <c r="B1689" t="s">
        <v>6239</v>
      </c>
      <c r="D1689" t="s">
        <v>6240</v>
      </c>
      <c r="G1689" t="s">
        <v>64</v>
      </c>
      <c r="H1689" t="s">
        <v>39</v>
      </c>
      <c r="I1689" t="s">
        <v>6241</v>
      </c>
    </row>
    <row r="1690" spans="1:9" x14ac:dyDescent="0.25">
      <c r="A1690" t="str">
        <f>"001072158"</f>
        <v>001072158</v>
      </c>
      <c r="B1690" t="s">
        <v>6242</v>
      </c>
      <c r="D1690" t="s">
        <v>6243</v>
      </c>
      <c r="G1690" t="s">
        <v>6244</v>
      </c>
      <c r="H1690" t="s">
        <v>13</v>
      </c>
      <c r="I1690" t="s">
        <v>6245</v>
      </c>
    </row>
    <row r="1691" spans="1:9" x14ac:dyDescent="0.25">
      <c r="A1691" t="str">
        <f>"001076957"</f>
        <v>001076957</v>
      </c>
      <c r="B1691" t="s">
        <v>6246</v>
      </c>
      <c r="D1691" t="s">
        <v>6247</v>
      </c>
      <c r="G1691" t="s">
        <v>1796</v>
      </c>
      <c r="H1691" t="s">
        <v>28</v>
      </c>
      <c r="I1691" t="s">
        <v>6248</v>
      </c>
    </row>
    <row r="1692" spans="1:9" x14ac:dyDescent="0.25">
      <c r="A1692" t="str">
        <f>"000802881"</f>
        <v>000802881</v>
      </c>
      <c r="B1692" t="s">
        <v>6249</v>
      </c>
      <c r="D1692" t="s">
        <v>6250</v>
      </c>
      <c r="G1692" t="s">
        <v>275</v>
      </c>
      <c r="H1692" t="s">
        <v>23</v>
      </c>
      <c r="I1692" t="s">
        <v>6251</v>
      </c>
    </row>
    <row r="1693" spans="1:9" x14ac:dyDescent="0.25">
      <c r="A1693" t="str">
        <f>"000802373"</f>
        <v>000802373</v>
      </c>
      <c r="B1693" t="s">
        <v>6252</v>
      </c>
      <c r="D1693" t="s">
        <v>6253</v>
      </c>
      <c r="E1693" t="s">
        <v>6254</v>
      </c>
      <c r="G1693" t="s">
        <v>6255</v>
      </c>
      <c r="I1693" t="s">
        <v>6256</v>
      </c>
    </row>
    <row r="1694" spans="1:9" x14ac:dyDescent="0.25">
      <c r="A1694" t="str">
        <f>"000629345"</f>
        <v>000629345</v>
      </c>
      <c r="B1694" t="s">
        <v>6257</v>
      </c>
      <c r="D1694" t="s">
        <v>6258</v>
      </c>
      <c r="G1694" t="s">
        <v>6259</v>
      </c>
      <c r="H1694" t="s">
        <v>28</v>
      </c>
      <c r="I1694" t="s">
        <v>6260</v>
      </c>
    </row>
    <row r="1695" spans="1:9" x14ac:dyDescent="0.25">
      <c r="A1695" t="str">
        <f>"000800117"</f>
        <v>000800117</v>
      </c>
      <c r="B1695" t="s">
        <v>6261</v>
      </c>
      <c r="D1695" t="s">
        <v>2175</v>
      </c>
      <c r="G1695" t="s">
        <v>2176</v>
      </c>
      <c r="H1695" t="s">
        <v>75</v>
      </c>
      <c r="I1695" t="s">
        <v>6262</v>
      </c>
    </row>
    <row r="1696" spans="1:9" x14ac:dyDescent="0.25">
      <c r="A1696" t="str">
        <f>"000800133"</f>
        <v>000800133</v>
      </c>
      <c r="B1696" t="s">
        <v>6263</v>
      </c>
      <c r="D1696" t="s">
        <v>6264</v>
      </c>
      <c r="G1696" t="s">
        <v>711</v>
      </c>
      <c r="H1696" t="s">
        <v>188</v>
      </c>
      <c r="I1696" t="s">
        <v>6265</v>
      </c>
    </row>
    <row r="1697" spans="1:9" x14ac:dyDescent="0.25">
      <c r="A1697" t="str">
        <f>"000802225"</f>
        <v>000802225</v>
      </c>
      <c r="B1697" t="s">
        <v>6266</v>
      </c>
      <c r="D1697" t="s">
        <v>6267</v>
      </c>
      <c r="E1697" t="s">
        <v>6268</v>
      </c>
      <c r="G1697" t="s">
        <v>1749</v>
      </c>
      <c r="H1697" t="s">
        <v>182</v>
      </c>
      <c r="I1697" t="s">
        <v>6269</v>
      </c>
    </row>
    <row r="1698" spans="1:9" x14ac:dyDescent="0.25">
      <c r="A1698" t="str">
        <f>"000802520"</f>
        <v>000802520</v>
      </c>
      <c r="B1698" t="s">
        <v>6270</v>
      </c>
      <c r="D1698" t="s">
        <v>6271</v>
      </c>
      <c r="G1698" t="s">
        <v>181</v>
      </c>
      <c r="H1698" t="s">
        <v>182</v>
      </c>
      <c r="I1698" t="s">
        <v>6272</v>
      </c>
    </row>
    <row r="1699" spans="1:9" x14ac:dyDescent="0.25">
      <c r="A1699" t="str">
        <f>"000800876"</f>
        <v>000800876</v>
      </c>
      <c r="B1699" t="s">
        <v>6273</v>
      </c>
      <c r="D1699" t="s">
        <v>6274</v>
      </c>
      <c r="G1699" t="s">
        <v>38</v>
      </c>
      <c r="H1699" t="s">
        <v>39</v>
      </c>
      <c r="I1699" t="s">
        <v>6275</v>
      </c>
    </row>
    <row r="1700" spans="1:9" x14ac:dyDescent="0.25">
      <c r="A1700" t="str">
        <f>"000800843"</f>
        <v>000800843</v>
      </c>
      <c r="B1700" t="s">
        <v>6276</v>
      </c>
      <c r="D1700" t="s">
        <v>6277</v>
      </c>
      <c r="E1700" t="s">
        <v>6278</v>
      </c>
      <c r="G1700" t="s">
        <v>6279</v>
      </c>
      <c r="H1700" t="s">
        <v>827</v>
      </c>
      <c r="I1700" t="s">
        <v>6280</v>
      </c>
    </row>
    <row r="1701" spans="1:9" x14ac:dyDescent="0.25">
      <c r="A1701" t="str">
        <f>"000807728"</f>
        <v>000807728</v>
      </c>
      <c r="B1701" t="s">
        <v>6281</v>
      </c>
      <c r="D1701" t="s">
        <v>6282</v>
      </c>
      <c r="G1701" t="s">
        <v>60</v>
      </c>
      <c r="H1701" t="s">
        <v>28</v>
      </c>
      <c r="I1701" t="s">
        <v>6283</v>
      </c>
    </row>
    <row r="1702" spans="1:9" x14ac:dyDescent="0.25">
      <c r="A1702" t="str">
        <f>"000800563"</f>
        <v>000800563</v>
      </c>
      <c r="B1702" t="s">
        <v>6284</v>
      </c>
      <c r="D1702" t="s">
        <v>6285</v>
      </c>
      <c r="E1702" t="s">
        <v>6286</v>
      </c>
      <c r="G1702" t="s">
        <v>165</v>
      </c>
      <c r="H1702" t="s">
        <v>166</v>
      </c>
      <c r="I1702" t="s">
        <v>6287</v>
      </c>
    </row>
    <row r="1703" spans="1:9" x14ac:dyDescent="0.25">
      <c r="A1703" t="str">
        <f>"000808406"</f>
        <v>000808406</v>
      </c>
      <c r="B1703" t="s">
        <v>6288</v>
      </c>
      <c r="D1703" t="s">
        <v>6289</v>
      </c>
      <c r="G1703" t="s">
        <v>700</v>
      </c>
      <c r="H1703" t="s">
        <v>28</v>
      </c>
      <c r="I1703" t="s">
        <v>6290</v>
      </c>
    </row>
    <row r="1704" spans="1:9" x14ac:dyDescent="0.25">
      <c r="A1704" t="str">
        <f>"000801632"</f>
        <v>000801632</v>
      </c>
      <c r="B1704" t="s">
        <v>6291</v>
      </c>
      <c r="D1704" t="s">
        <v>6292</v>
      </c>
      <c r="E1704" t="s">
        <v>6293</v>
      </c>
      <c r="G1704" t="s">
        <v>60</v>
      </c>
      <c r="H1704" t="s">
        <v>28</v>
      </c>
      <c r="I1704" t="s">
        <v>6294</v>
      </c>
    </row>
    <row r="1705" spans="1:9" x14ac:dyDescent="0.25">
      <c r="A1705" t="str">
        <f>"000803412"</f>
        <v>000803412</v>
      </c>
      <c r="B1705" t="s">
        <v>6295</v>
      </c>
      <c r="D1705" t="s">
        <v>6296</v>
      </c>
      <c r="G1705" t="s">
        <v>64</v>
      </c>
      <c r="H1705" t="s">
        <v>39</v>
      </c>
      <c r="I1705" t="s">
        <v>6297</v>
      </c>
    </row>
    <row r="1706" spans="1:9" x14ac:dyDescent="0.25">
      <c r="A1706" t="str">
        <f>"000801833"</f>
        <v>000801833</v>
      </c>
      <c r="B1706" t="s">
        <v>6298</v>
      </c>
      <c r="D1706" t="s">
        <v>6299</v>
      </c>
      <c r="G1706" t="s">
        <v>60</v>
      </c>
      <c r="H1706" t="s">
        <v>28</v>
      </c>
      <c r="I1706" t="s">
        <v>6300</v>
      </c>
    </row>
    <row r="1707" spans="1:9" x14ac:dyDescent="0.25">
      <c r="A1707" t="str">
        <f>"000803407"</f>
        <v>000803407</v>
      </c>
      <c r="B1707" t="s">
        <v>6301</v>
      </c>
      <c r="D1707" t="s">
        <v>6302</v>
      </c>
      <c r="G1707" t="s">
        <v>130</v>
      </c>
      <c r="H1707" t="s">
        <v>131</v>
      </c>
      <c r="I1707" t="s">
        <v>6303</v>
      </c>
    </row>
    <row r="1708" spans="1:9" x14ac:dyDescent="0.25">
      <c r="A1708" t="str">
        <f>"000629040"</f>
        <v>000629040</v>
      </c>
      <c r="B1708" t="s">
        <v>6304</v>
      </c>
      <c r="D1708" t="s">
        <v>6305</v>
      </c>
      <c r="G1708" t="s">
        <v>64</v>
      </c>
      <c r="H1708" t="s">
        <v>39</v>
      </c>
      <c r="I1708" t="s">
        <v>6306</v>
      </c>
    </row>
    <row r="1709" spans="1:9" x14ac:dyDescent="0.25">
      <c r="A1709" t="str">
        <f>"000801127"</f>
        <v>000801127</v>
      </c>
      <c r="B1709" t="s">
        <v>6307</v>
      </c>
      <c r="D1709" t="s">
        <v>6308</v>
      </c>
      <c r="G1709" t="s">
        <v>64</v>
      </c>
      <c r="H1709" t="s">
        <v>39</v>
      </c>
      <c r="I1709" t="s">
        <v>6309</v>
      </c>
    </row>
    <row r="1710" spans="1:9" x14ac:dyDescent="0.25">
      <c r="A1710" t="str">
        <f>"000801354"</f>
        <v>000801354</v>
      </c>
      <c r="B1710" t="s">
        <v>6310</v>
      </c>
      <c r="D1710" t="s">
        <v>6311</v>
      </c>
      <c r="E1710" t="s">
        <v>6312</v>
      </c>
      <c r="G1710" t="s">
        <v>2152</v>
      </c>
      <c r="H1710" t="s">
        <v>221</v>
      </c>
      <c r="I1710" t="s">
        <v>6313</v>
      </c>
    </row>
    <row r="1711" spans="1:9" x14ac:dyDescent="0.25">
      <c r="A1711" t="str">
        <f>"000800793"</f>
        <v>000800793</v>
      </c>
      <c r="B1711" t="s">
        <v>6314</v>
      </c>
      <c r="D1711" t="s">
        <v>6315</v>
      </c>
      <c r="G1711" t="s">
        <v>467</v>
      </c>
      <c r="H1711" t="s">
        <v>468</v>
      </c>
      <c r="I1711" t="s">
        <v>6316</v>
      </c>
    </row>
    <row r="1712" spans="1:9" x14ac:dyDescent="0.25">
      <c r="A1712" t="str">
        <f>"000800302"</f>
        <v>000800302</v>
      </c>
      <c r="B1712" t="s">
        <v>6317</v>
      </c>
      <c r="D1712" t="s">
        <v>6318</v>
      </c>
      <c r="E1712" t="s">
        <v>6319</v>
      </c>
      <c r="G1712" t="s">
        <v>6320</v>
      </c>
      <c r="I1712" t="s">
        <v>2557</v>
      </c>
    </row>
    <row r="1713" spans="1:9" x14ac:dyDescent="0.25">
      <c r="A1713" t="str">
        <f>"000806493"</f>
        <v>000806493</v>
      </c>
      <c r="B1713" t="s">
        <v>6321</v>
      </c>
      <c r="D1713" t="s">
        <v>6322</v>
      </c>
      <c r="G1713" t="s">
        <v>1003</v>
      </c>
      <c r="H1713" t="s">
        <v>188</v>
      </c>
      <c r="I1713" t="s">
        <v>6323</v>
      </c>
    </row>
    <row r="1714" spans="1:9" x14ac:dyDescent="0.25">
      <c r="A1714" t="str">
        <f>"000629248"</f>
        <v>000629248</v>
      </c>
      <c r="B1714" t="s">
        <v>6324</v>
      </c>
      <c r="D1714" t="s">
        <v>6325</v>
      </c>
      <c r="E1714" t="s">
        <v>6326</v>
      </c>
      <c r="G1714" t="s">
        <v>64</v>
      </c>
      <c r="H1714" t="s">
        <v>39</v>
      </c>
      <c r="I1714" t="s">
        <v>6327</v>
      </c>
    </row>
    <row r="1715" spans="1:9" x14ac:dyDescent="0.25">
      <c r="A1715" t="str">
        <f>"000801172"</f>
        <v>000801172</v>
      </c>
      <c r="B1715" t="s">
        <v>6328</v>
      </c>
      <c r="D1715" t="s">
        <v>6329</v>
      </c>
      <c r="G1715" t="s">
        <v>1066</v>
      </c>
      <c r="H1715" t="s">
        <v>166</v>
      </c>
      <c r="I1715" t="s">
        <v>6330</v>
      </c>
    </row>
    <row r="1716" spans="1:9" x14ac:dyDescent="0.25">
      <c r="A1716" t="str">
        <f>"000800212"</f>
        <v>000800212</v>
      </c>
      <c r="B1716" t="s">
        <v>6331</v>
      </c>
      <c r="D1716" t="s">
        <v>6332</v>
      </c>
      <c r="E1716" t="s">
        <v>6333</v>
      </c>
      <c r="G1716" t="s">
        <v>751</v>
      </c>
      <c r="H1716" t="s">
        <v>540</v>
      </c>
      <c r="I1716" t="s">
        <v>6334</v>
      </c>
    </row>
    <row r="1717" spans="1:9" x14ac:dyDescent="0.25">
      <c r="A1717" t="str">
        <f>"000850301"</f>
        <v>000850301</v>
      </c>
      <c r="B1717" t="s">
        <v>6335</v>
      </c>
      <c r="D1717" t="s">
        <v>6336</v>
      </c>
      <c r="G1717" t="s">
        <v>6337</v>
      </c>
      <c r="H1717" t="s">
        <v>4058</v>
      </c>
      <c r="I1717" t="s">
        <v>6338</v>
      </c>
    </row>
    <row r="1718" spans="1:9" x14ac:dyDescent="0.25">
      <c r="A1718" t="str">
        <f>"000849371"</f>
        <v>000849371</v>
      </c>
      <c r="B1718" t="s">
        <v>6339</v>
      </c>
      <c r="D1718" t="s">
        <v>6340</v>
      </c>
      <c r="G1718" t="s">
        <v>1310</v>
      </c>
      <c r="H1718" t="s">
        <v>13</v>
      </c>
      <c r="I1718" t="s">
        <v>6341</v>
      </c>
    </row>
    <row r="1719" spans="1:9" x14ac:dyDescent="0.25">
      <c r="A1719" t="str">
        <f>"000588647"</f>
        <v>000588647</v>
      </c>
      <c r="B1719" t="s">
        <v>6342</v>
      </c>
      <c r="D1719" t="s">
        <v>6343</v>
      </c>
      <c r="E1719" t="s">
        <v>6344</v>
      </c>
      <c r="G1719" t="s">
        <v>64</v>
      </c>
      <c r="H1719" t="s">
        <v>39</v>
      </c>
      <c r="I1719" t="s">
        <v>6345</v>
      </c>
    </row>
    <row r="1720" spans="1:9" x14ac:dyDescent="0.25">
      <c r="A1720" t="str">
        <f>"000568917"</f>
        <v>000568917</v>
      </c>
      <c r="B1720" t="s">
        <v>6346</v>
      </c>
      <c r="D1720" t="s">
        <v>6347</v>
      </c>
      <c r="G1720" t="s">
        <v>6348</v>
      </c>
      <c r="H1720" t="s">
        <v>477</v>
      </c>
      <c r="I1720" t="s">
        <v>6349</v>
      </c>
    </row>
    <row r="1721" spans="1:9" x14ac:dyDescent="0.25">
      <c r="A1721" t="str">
        <f>"000557970"</f>
        <v>000557970</v>
      </c>
      <c r="B1721" t="s">
        <v>6350</v>
      </c>
      <c r="D1721" t="s">
        <v>6351</v>
      </c>
      <c r="G1721" t="s">
        <v>64</v>
      </c>
      <c r="H1721" t="s">
        <v>39</v>
      </c>
      <c r="I1721" t="s">
        <v>6352</v>
      </c>
    </row>
    <row r="1722" spans="1:9" x14ac:dyDescent="0.25">
      <c r="A1722" t="str">
        <f>"000862111"</f>
        <v>000862111</v>
      </c>
      <c r="B1722" t="s">
        <v>6353</v>
      </c>
      <c r="D1722" t="s">
        <v>6354</v>
      </c>
      <c r="E1722" t="s">
        <v>6355</v>
      </c>
      <c r="F1722" t="s">
        <v>6356</v>
      </c>
      <c r="G1722" t="s">
        <v>6357</v>
      </c>
      <c r="H1722" t="s">
        <v>39</v>
      </c>
      <c r="I1722" t="s">
        <v>6358</v>
      </c>
    </row>
    <row r="1723" spans="1:9" x14ac:dyDescent="0.25">
      <c r="A1723" t="str">
        <f>"000012094"</f>
        <v>000012094</v>
      </c>
      <c r="B1723" t="s">
        <v>6359</v>
      </c>
      <c r="D1723" t="s">
        <v>6360</v>
      </c>
      <c r="G1723" t="s">
        <v>64</v>
      </c>
      <c r="H1723" t="s">
        <v>39</v>
      </c>
      <c r="I1723" t="s">
        <v>6361</v>
      </c>
    </row>
    <row r="1724" spans="1:9" x14ac:dyDescent="0.25">
      <c r="A1724" t="str">
        <f>"000011114"</f>
        <v>000011114</v>
      </c>
      <c r="B1724" t="s">
        <v>6362</v>
      </c>
      <c r="D1724" t="s">
        <v>6363</v>
      </c>
      <c r="E1724" t="s">
        <v>6364</v>
      </c>
      <c r="G1724" t="s">
        <v>17</v>
      </c>
      <c r="H1724" t="s">
        <v>13</v>
      </c>
      <c r="I1724" t="s">
        <v>6365</v>
      </c>
    </row>
    <row r="1725" spans="1:9" x14ac:dyDescent="0.25">
      <c r="A1725" t="str">
        <f>"000011844"</f>
        <v>000011844</v>
      </c>
      <c r="B1725" t="s">
        <v>6366</v>
      </c>
      <c r="D1725" t="s">
        <v>6367</v>
      </c>
      <c r="E1725" t="s">
        <v>6368</v>
      </c>
      <c r="G1725" t="s">
        <v>130</v>
      </c>
      <c r="H1725" t="s">
        <v>131</v>
      </c>
      <c r="I1725" t="s">
        <v>6369</v>
      </c>
    </row>
    <row r="1726" spans="1:9" x14ac:dyDescent="0.25">
      <c r="A1726" t="str">
        <f>"000010914"</f>
        <v>000010914</v>
      </c>
      <c r="B1726" t="s">
        <v>6370</v>
      </c>
      <c r="D1726" t="s">
        <v>6371</v>
      </c>
      <c r="E1726" t="s">
        <v>6372</v>
      </c>
      <c r="G1726" t="s">
        <v>6373</v>
      </c>
      <c r="H1726" t="s">
        <v>827</v>
      </c>
      <c r="I1726" t="s">
        <v>6374</v>
      </c>
    </row>
    <row r="1727" spans="1:9" x14ac:dyDescent="0.25">
      <c r="A1727" t="str">
        <f>"000010680"</f>
        <v>000010680</v>
      </c>
      <c r="B1727" t="s">
        <v>6375</v>
      </c>
      <c r="D1727" t="s">
        <v>6376</v>
      </c>
      <c r="G1727" t="s">
        <v>170</v>
      </c>
      <c r="H1727" t="s">
        <v>171</v>
      </c>
      <c r="I1727" t="s">
        <v>6377</v>
      </c>
    </row>
    <row r="1728" spans="1:9" x14ac:dyDescent="0.25">
      <c r="A1728" t="str">
        <f>"000012284"</f>
        <v>000012284</v>
      </c>
      <c r="B1728" t="s">
        <v>6378</v>
      </c>
      <c r="D1728" t="s">
        <v>6379</v>
      </c>
      <c r="E1728" t="s">
        <v>6380</v>
      </c>
      <c r="G1728" t="s">
        <v>64</v>
      </c>
      <c r="H1728" t="s">
        <v>39</v>
      </c>
      <c r="I1728" t="s">
        <v>6381</v>
      </c>
    </row>
    <row r="1729" spans="1:9" x14ac:dyDescent="0.25">
      <c r="A1729" t="str">
        <f>"000011812"</f>
        <v>000011812</v>
      </c>
      <c r="B1729" t="s">
        <v>6382</v>
      </c>
      <c r="D1729" t="s">
        <v>6383</v>
      </c>
      <c r="G1729" t="s">
        <v>550</v>
      </c>
      <c r="H1729" t="s">
        <v>39</v>
      </c>
      <c r="I1729" t="s">
        <v>6384</v>
      </c>
    </row>
    <row r="1730" spans="1:9" x14ac:dyDescent="0.25">
      <c r="A1730" t="str">
        <f>"000012535"</f>
        <v>000012535</v>
      </c>
      <c r="B1730" t="s">
        <v>6385</v>
      </c>
      <c r="D1730" t="s">
        <v>6386</v>
      </c>
      <c r="G1730" t="s">
        <v>64</v>
      </c>
      <c r="H1730" t="s">
        <v>39</v>
      </c>
      <c r="I1730" t="s">
        <v>6387</v>
      </c>
    </row>
    <row r="1731" spans="1:9" x14ac:dyDescent="0.25">
      <c r="A1731" t="str">
        <f>"000012523"</f>
        <v>000012523</v>
      </c>
      <c r="B1731" t="s">
        <v>6388</v>
      </c>
      <c r="D1731" t="s">
        <v>6389</v>
      </c>
      <c r="G1731" t="s">
        <v>1957</v>
      </c>
      <c r="H1731" t="s">
        <v>161</v>
      </c>
      <c r="I1731" t="s">
        <v>6390</v>
      </c>
    </row>
    <row r="1732" spans="1:9" x14ac:dyDescent="0.25">
      <c r="A1732" t="str">
        <f>"000010114"</f>
        <v>000010114</v>
      </c>
      <c r="B1732" t="s">
        <v>6391</v>
      </c>
      <c r="D1732" t="s">
        <v>6392</v>
      </c>
      <c r="G1732" t="s">
        <v>242</v>
      </c>
      <c r="H1732" t="s">
        <v>161</v>
      </c>
      <c r="I1732" t="s">
        <v>6393</v>
      </c>
    </row>
    <row r="1733" spans="1:9" x14ac:dyDescent="0.25">
      <c r="A1733" t="str">
        <f>"000010181"</f>
        <v>000010181</v>
      </c>
      <c r="B1733" t="s">
        <v>6394</v>
      </c>
      <c r="D1733" t="s">
        <v>2000</v>
      </c>
      <c r="E1733" t="s">
        <v>6395</v>
      </c>
      <c r="G1733" t="s">
        <v>64</v>
      </c>
      <c r="H1733" t="s">
        <v>39</v>
      </c>
      <c r="I1733" t="s">
        <v>6396</v>
      </c>
    </row>
    <row r="1734" spans="1:9" x14ac:dyDescent="0.25">
      <c r="A1734" t="str">
        <f>"000010176"</f>
        <v>000010176</v>
      </c>
      <c r="B1734" t="s">
        <v>6397</v>
      </c>
      <c r="D1734" t="s">
        <v>6398</v>
      </c>
      <c r="E1734" t="s">
        <v>6399</v>
      </c>
      <c r="G1734" t="s">
        <v>130</v>
      </c>
      <c r="H1734" t="s">
        <v>131</v>
      </c>
      <c r="I1734" t="s">
        <v>6400</v>
      </c>
    </row>
    <row r="1735" spans="1:9" x14ac:dyDescent="0.25">
      <c r="A1735" t="str">
        <f>"000011788"</f>
        <v>000011788</v>
      </c>
      <c r="B1735" t="s">
        <v>6401</v>
      </c>
      <c r="D1735" t="s">
        <v>6402</v>
      </c>
      <c r="E1735" t="s">
        <v>6278</v>
      </c>
      <c r="G1735" t="s">
        <v>6279</v>
      </c>
      <c r="H1735" t="s">
        <v>827</v>
      </c>
      <c r="I1735" t="s">
        <v>6403</v>
      </c>
    </row>
    <row r="1736" spans="1:9" x14ac:dyDescent="0.25">
      <c r="A1736" t="str">
        <f>"000010199"</f>
        <v>000010199</v>
      </c>
      <c r="B1736" t="s">
        <v>6404</v>
      </c>
      <c r="D1736" t="s">
        <v>6405</v>
      </c>
      <c r="E1736" t="s">
        <v>6406</v>
      </c>
      <c r="G1736" t="s">
        <v>60</v>
      </c>
      <c r="H1736" t="s">
        <v>28</v>
      </c>
      <c r="I1736" t="s">
        <v>6407</v>
      </c>
    </row>
    <row r="1737" spans="1:9" x14ac:dyDescent="0.25">
      <c r="A1737" t="str">
        <f>"000010294"</f>
        <v>000010294</v>
      </c>
      <c r="B1737" t="s">
        <v>6408</v>
      </c>
      <c r="D1737" t="s">
        <v>6409</v>
      </c>
      <c r="G1737" t="s">
        <v>949</v>
      </c>
      <c r="H1737" t="s">
        <v>34</v>
      </c>
      <c r="I1737" t="s">
        <v>6410</v>
      </c>
    </row>
    <row r="1738" spans="1:9" x14ac:dyDescent="0.25">
      <c r="A1738" t="str">
        <f>"000010822"</f>
        <v>000010822</v>
      </c>
      <c r="B1738" t="s">
        <v>6411</v>
      </c>
      <c r="D1738" t="s">
        <v>6412</v>
      </c>
      <c r="G1738" t="s">
        <v>170</v>
      </c>
      <c r="H1738" t="s">
        <v>171</v>
      </c>
      <c r="I1738" t="s">
        <v>6413</v>
      </c>
    </row>
    <row r="1739" spans="1:9" x14ac:dyDescent="0.25">
      <c r="A1739" t="str">
        <f>"000011663"</f>
        <v>000011663</v>
      </c>
      <c r="B1739" t="s">
        <v>6414</v>
      </c>
      <c r="D1739" t="s">
        <v>6415</v>
      </c>
      <c r="E1739" t="s">
        <v>6416</v>
      </c>
      <c r="F1739" t="s">
        <v>6417</v>
      </c>
      <c r="G1739" t="s">
        <v>64</v>
      </c>
      <c r="H1739" t="s">
        <v>39</v>
      </c>
      <c r="I1739" t="s">
        <v>6418</v>
      </c>
    </row>
    <row r="1740" spans="1:9" x14ac:dyDescent="0.25">
      <c r="A1740" t="str">
        <f>"000010592"</f>
        <v>000010592</v>
      </c>
      <c r="B1740" t="s">
        <v>6419</v>
      </c>
      <c r="D1740" t="s">
        <v>6420</v>
      </c>
      <c r="E1740" t="s">
        <v>6421</v>
      </c>
      <c r="G1740" t="s">
        <v>165</v>
      </c>
      <c r="H1740" t="s">
        <v>166</v>
      </c>
      <c r="I1740" t="s">
        <v>6422</v>
      </c>
    </row>
    <row r="1741" spans="1:9" x14ac:dyDescent="0.25">
      <c r="A1741" t="str">
        <f>"000013307"</f>
        <v>000013307</v>
      </c>
      <c r="B1741" t="s">
        <v>6423</v>
      </c>
      <c r="D1741" t="s">
        <v>6424</v>
      </c>
      <c r="G1741" t="s">
        <v>64</v>
      </c>
      <c r="H1741" t="s">
        <v>39</v>
      </c>
      <c r="I1741" t="s">
        <v>6425</v>
      </c>
    </row>
    <row r="1742" spans="1:9" x14ac:dyDescent="0.25">
      <c r="A1742" t="str">
        <f>"000013320"</f>
        <v>000013320</v>
      </c>
      <c r="B1742" t="s">
        <v>6426</v>
      </c>
      <c r="D1742" t="s">
        <v>6427</v>
      </c>
      <c r="E1742" t="s">
        <v>6428</v>
      </c>
      <c r="G1742" t="s">
        <v>3472</v>
      </c>
      <c r="H1742" t="s">
        <v>1012</v>
      </c>
      <c r="I1742" t="s">
        <v>6429</v>
      </c>
    </row>
    <row r="1743" spans="1:9" x14ac:dyDescent="0.25">
      <c r="A1743" t="str">
        <f>"000010568"</f>
        <v>000010568</v>
      </c>
      <c r="B1743" t="s">
        <v>6430</v>
      </c>
      <c r="D1743" t="s">
        <v>6431</v>
      </c>
      <c r="G1743" t="s">
        <v>64</v>
      </c>
      <c r="H1743" t="s">
        <v>39</v>
      </c>
      <c r="I1743" t="s">
        <v>6432</v>
      </c>
    </row>
    <row r="1744" spans="1:9" x14ac:dyDescent="0.25">
      <c r="A1744" t="str">
        <f>"000011034"</f>
        <v>000011034</v>
      </c>
      <c r="B1744" t="s">
        <v>6433</v>
      </c>
      <c r="D1744" t="s">
        <v>6434</v>
      </c>
      <c r="G1744" t="s">
        <v>1336</v>
      </c>
      <c r="H1744" t="s">
        <v>23</v>
      </c>
      <c r="I1744" t="s">
        <v>6435</v>
      </c>
    </row>
    <row r="1745" spans="1:9" x14ac:dyDescent="0.25">
      <c r="A1745" t="str">
        <f>"000010543"</f>
        <v>000010543</v>
      </c>
      <c r="B1745" t="s">
        <v>6436</v>
      </c>
      <c r="D1745" t="s">
        <v>6437</v>
      </c>
      <c r="G1745" t="s">
        <v>170</v>
      </c>
      <c r="H1745" t="s">
        <v>171</v>
      </c>
      <c r="I1745" t="s">
        <v>6438</v>
      </c>
    </row>
    <row r="1746" spans="1:9" x14ac:dyDescent="0.25">
      <c r="A1746" t="str">
        <f>"000012178"</f>
        <v>000012178</v>
      </c>
      <c r="B1746" t="s">
        <v>6439</v>
      </c>
      <c r="D1746" t="s">
        <v>6440</v>
      </c>
      <c r="E1746" t="s">
        <v>6441</v>
      </c>
      <c r="G1746" t="s">
        <v>6442</v>
      </c>
      <c r="H1746" t="s">
        <v>28</v>
      </c>
      <c r="I1746" t="s">
        <v>6443</v>
      </c>
    </row>
    <row r="1747" spans="1:9" x14ac:dyDescent="0.25">
      <c r="A1747" t="str">
        <f>"000012174"</f>
        <v>000012174</v>
      </c>
      <c r="B1747" t="s">
        <v>6444</v>
      </c>
      <c r="D1747" t="s">
        <v>3531</v>
      </c>
      <c r="E1747" t="s">
        <v>6445</v>
      </c>
      <c r="G1747" t="s">
        <v>267</v>
      </c>
      <c r="H1747" t="s">
        <v>39</v>
      </c>
      <c r="I1747" t="s">
        <v>6446</v>
      </c>
    </row>
    <row r="1748" spans="1:9" x14ac:dyDescent="0.25">
      <c r="A1748" t="str">
        <f>"000012159"</f>
        <v>000012159</v>
      </c>
      <c r="B1748" t="s">
        <v>6447</v>
      </c>
      <c r="D1748" t="s">
        <v>6448</v>
      </c>
      <c r="G1748" t="s">
        <v>64</v>
      </c>
      <c r="H1748" t="s">
        <v>39</v>
      </c>
      <c r="I1748" t="s">
        <v>6449</v>
      </c>
    </row>
    <row r="1749" spans="1:9" x14ac:dyDescent="0.25">
      <c r="A1749" t="str">
        <f>"000013160"</f>
        <v>000013160</v>
      </c>
      <c r="B1749" t="s">
        <v>6450</v>
      </c>
      <c r="D1749" t="s">
        <v>6451</v>
      </c>
      <c r="E1749" t="s">
        <v>6452</v>
      </c>
      <c r="G1749" t="s">
        <v>17</v>
      </c>
      <c r="H1749" t="s">
        <v>13</v>
      </c>
      <c r="I1749" t="s">
        <v>6453</v>
      </c>
    </row>
    <row r="1750" spans="1:9" x14ac:dyDescent="0.25">
      <c r="A1750" t="str">
        <f>"000013132"</f>
        <v>000013132</v>
      </c>
      <c r="B1750" t="s">
        <v>6454</v>
      </c>
      <c r="D1750" t="s">
        <v>6455</v>
      </c>
      <c r="E1750" t="s">
        <v>6456</v>
      </c>
      <c r="G1750" t="s">
        <v>6457</v>
      </c>
      <c r="H1750" t="s">
        <v>614</v>
      </c>
      <c r="I1750" t="s">
        <v>6458</v>
      </c>
    </row>
    <row r="1751" spans="1:9" x14ac:dyDescent="0.25">
      <c r="A1751" t="str">
        <f>"000012898"</f>
        <v>000012898</v>
      </c>
      <c r="B1751" t="s">
        <v>6459</v>
      </c>
      <c r="D1751" t="s">
        <v>6460</v>
      </c>
      <c r="E1751" t="s">
        <v>6461</v>
      </c>
      <c r="G1751" t="s">
        <v>6462</v>
      </c>
      <c r="H1751" t="s">
        <v>39</v>
      </c>
      <c r="I1751" t="s">
        <v>6463</v>
      </c>
    </row>
    <row r="1752" spans="1:9" x14ac:dyDescent="0.25">
      <c r="A1752" t="str">
        <f>"000010232"</f>
        <v>000010232</v>
      </c>
      <c r="B1752" t="s">
        <v>6464</v>
      </c>
      <c r="D1752" t="s">
        <v>6465</v>
      </c>
      <c r="G1752" t="s">
        <v>1714</v>
      </c>
      <c r="H1752" t="s">
        <v>383</v>
      </c>
      <c r="I1752" t="s">
        <v>6466</v>
      </c>
    </row>
    <row r="1753" spans="1:9" x14ac:dyDescent="0.25">
      <c r="A1753" t="str">
        <f>"000010316"</f>
        <v>000010316</v>
      </c>
      <c r="B1753" t="s">
        <v>6467</v>
      </c>
      <c r="D1753" t="s">
        <v>6468</v>
      </c>
      <c r="G1753" t="s">
        <v>170</v>
      </c>
      <c r="H1753" t="s">
        <v>171</v>
      </c>
      <c r="I1753" t="s">
        <v>6469</v>
      </c>
    </row>
    <row r="1754" spans="1:9" x14ac:dyDescent="0.25">
      <c r="A1754" t="str">
        <f>"000011392"</f>
        <v>000011392</v>
      </c>
      <c r="B1754" t="s">
        <v>6470</v>
      </c>
      <c r="D1754" t="s">
        <v>2122</v>
      </c>
      <c r="G1754" t="s">
        <v>253</v>
      </c>
      <c r="H1754" t="s">
        <v>28</v>
      </c>
      <c r="I1754" t="s">
        <v>6471</v>
      </c>
    </row>
    <row r="1755" spans="1:9" x14ac:dyDescent="0.25">
      <c r="A1755" t="str">
        <f>"000011377"</f>
        <v>000011377</v>
      </c>
      <c r="B1755" t="s">
        <v>6472</v>
      </c>
      <c r="D1755" t="s">
        <v>6473</v>
      </c>
      <c r="G1755" t="s">
        <v>628</v>
      </c>
      <c r="I1755">
        <v>75015</v>
      </c>
    </row>
    <row r="1756" spans="1:9" x14ac:dyDescent="0.25">
      <c r="A1756" t="str">
        <f>"000010068"</f>
        <v>000010068</v>
      </c>
      <c r="B1756" t="s">
        <v>6474</v>
      </c>
      <c r="D1756" t="s">
        <v>6475</v>
      </c>
      <c r="G1756" t="s">
        <v>165</v>
      </c>
      <c r="H1756" t="s">
        <v>166</v>
      </c>
      <c r="I1756" t="s">
        <v>6476</v>
      </c>
    </row>
    <row r="1757" spans="1:9" x14ac:dyDescent="0.25">
      <c r="A1757" t="str">
        <f>"000010956"</f>
        <v>000010956</v>
      </c>
      <c r="B1757" t="s">
        <v>6477</v>
      </c>
      <c r="D1757" t="s">
        <v>6478</v>
      </c>
      <c r="E1757" t="s">
        <v>6479</v>
      </c>
      <c r="G1757" t="s">
        <v>550</v>
      </c>
      <c r="H1757" t="s">
        <v>39</v>
      </c>
      <c r="I1757" t="s">
        <v>6480</v>
      </c>
    </row>
    <row r="1758" spans="1:9" x14ac:dyDescent="0.25">
      <c r="A1758" t="str">
        <f>"000010740"</f>
        <v>000010740</v>
      </c>
      <c r="B1758" t="s">
        <v>6481</v>
      </c>
      <c r="D1758" t="s">
        <v>6482</v>
      </c>
      <c r="G1758" t="s">
        <v>60</v>
      </c>
      <c r="H1758" t="s">
        <v>28</v>
      </c>
      <c r="I1758" t="s">
        <v>6483</v>
      </c>
    </row>
    <row r="1759" spans="1:9" x14ac:dyDescent="0.25">
      <c r="A1759" t="str">
        <f>"000011867"</f>
        <v>000011867</v>
      </c>
      <c r="B1759" t="s">
        <v>6484</v>
      </c>
      <c r="D1759" t="s">
        <v>6485</v>
      </c>
      <c r="G1759" t="s">
        <v>64</v>
      </c>
      <c r="H1759" t="s">
        <v>39</v>
      </c>
      <c r="I1759" t="s">
        <v>6486</v>
      </c>
    </row>
    <row r="1760" spans="1:9" x14ac:dyDescent="0.25">
      <c r="A1760" t="str">
        <f>"000012839"</f>
        <v>000012839</v>
      </c>
      <c r="B1760" t="s">
        <v>6487</v>
      </c>
      <c r="D1760" t="s">
        <v>6488</v>
      </c>
      <c r="E1760" t="s">
        <v>6489</v>
      </c>
      <c r="G1760" t="s">
        <v>523</v>
      </c>
      <c r="H1760" t="s">
        <v>524</v>
      </c>
      <c r="I1760" t="s">
        <v>6490</v>
      </c>
    </row>
    <row r="1761" spans="1:9" x14ac:dyDescent="0.25">
      <c r="A1761" t="str">
        <f>"000012826"</f>
        <v>000012826</v>
      </c>
      <c r="B1761" t="s">
        <v>6491</v>
      </c>
      <c r="D1761" t="s">
        <v>6492</v>
      </c>
      <c r="G1761" t="s">
        <v>1745</v>
      </c>
      <c r="H1761" t="s">
        <v>120</v>
      </c>
      <c r="I1761" t="s">
        <v>6493</v>
      </c>
    </row>
    <row r="1762" spans="1:9" x14ac:dyDescent="0.25">
      <c r="A1762" t="str">
        <f>"000010052"</f>
        <v>000010052</v>
      </c>
      <c r="B1762" t="s">
        <v>6494</v>
      </c>
      <c r="D1762" t="s">
        <v>6495</v>
      </c>
      <c r="G1762" t="s">
        <v>6496</v>
      </c>
      <c r="H1762" t="s">
        <v>75</v>
      </c>
      <c r="I1762" t="s">
        <v>6497</v>
      </c>
    </row>
    <row r="1763" spans="1:9" x14ac:dyDescent="0.25">
      <c r="A1763" t="str">
        <f>"000010045"</f>
        <v>000010045</v>
      </c>
      <c r="B1763" t="s">
        <v>6498</v>
      </c>
      <c r="D1763" t="s">
        <v>6499</v>
      </c>
      <c r="G1763" t="s">
        <v>2564</v>
      </c>
      <c r="H1763" t="s">
        <v>75</v>
      </c>
      <c r="I1763" t="s">
        <v>6500</v>
      </c>
    </row>
    <row r="1764" spans="1:9" x14ac:dyDescent="0.25">
      <c r="A1764" t="str">
        <f>"000011159"</f>
        <v>000011159</v>
      </c>
      <c r="B1764" t="s">
        <v>6501</v>
      </c>
      <c r="D1764" t="s">
        <v>6502</v>
      </c>
      <c r="E1764" t="s">
        <v>6503</v>
      </c>
      <c r="G1764" t="s">
        <v>38</v>
      </c>
      <c r="H1764" t="s">
        <v>39</v>
      </c>
      <c r="I1764" t="s">
        <v>6504</v>
      </c>
    </row>
    <row r="1765" spans="1:9" x14ac:dyDescent="0.25">
      <c r="A1765" t="str">
        <f>"000675164"</f>
        <v>000675164</v>
      </c>
      <c r="B1765" t="s">
        <v>6505</v>
      </c>
      <c r="D1765" t="s">
        <v>6506</v>
      </c>
      <c r="E1765" t="s">
        <v>6507</v>
      </c>
      <c r="G1765" t="s">
        <v>6508</v>
      </c>
      <c r="H1765" t="s">
        <v>879</v>
      </c>
      <c r="I1765" t="s">
        <v>6509</v>
      </c>
    </row>
    <row r="1766" spans="1:9" x14ac:dyDescent="0.25">
      <c r="A1766" t="str">
        <f>"000809446"</f>
        <v>000809446</v>
      </c>
      <c r="B1766" t="s">
        <v>6510</v>
      </c>
      <c r="D1766" t="s">
        <v>294</v>
      </c>
      <c r="G1766" t="s">
        <v>295</v>
      </c>
      <c r="H1766" t="s">
        <v>296</v>
      </c>
      <c r="I1766" t="s">
        <v>6511</v>
      </c>
    </row>
    <row r="1767" spans="1:9" x14ac:dyDescent="0.25">
      <c r="A1767" t="str">
        <f>"000808593"</f>
        <v>000808593</v>
      </c>
      <c r="B1767" t="s">
        <v>6512</v>
      </c>
      <c r="D1767" t="s">
        <v>6513</v>
      </c>
      <c r="E1767" t="s">
        <v>6514</v>
      </c>
      <c r="G1767" t="s">
        <v>56</v>
      </c>
      <c r="H1767" t="s">
        <v>28</v>
      </c>
      <c r="I1767" t="s">
        <v>6515</v>
      </c>
    </row>
    <row r="1768" spans="1:9" x14ac:dyDescent="0.25">
      <c r="A1768" t="str">
        <f>"000809790"</f>
        <v>000809790</v>
      </c>
      <c r="B1768" t="s">
        <v>6516</v>
      </c>
      <c r="D1768" t="s">
        <v>6517</v>
      </c>
      <c r="G1768" t="s">
        <v>1022</v>
      </c>
      <c r="H1768" t="s">
        <v>477</v>
      </c>
      <c r="I1768" t="s">
        <v>6518</v>
      </c>
    </row>
    <row r="1769" spans="1:9" x14ac:dyDescent="0.25">
      <c r="A1769" t="str">
        <f>"000844320"</f>
        <v>000844320</v>
      </c>
      <c r="B1769" t="s">
        <v>6519</v>
      </c>
      <c r="D1769" t="s">
        <v>6520</v>
      </c>
      <c r="E1769" t="s">
        <v>6521</v>
      </c>
      <c r="F1769" t="s">
        <v>6522</v>
      </c>
      <c r="G1769" t="s">
        <v>1284</v>
      </c>
      <c r="H1769" t="s">
        <v>809</v>
      </c>
      <c r="I1769" t="s">
        <v>6523</v>
      </c>
    </row>
    <row r="1770" spans="1:9" x14ac:dyDescent="0.25">
      <c r="A1770" t="str">
        <f>"000832884"</f>
        <v>000832884</v>
      </c>
      <c r="B1770" t="s">
        <v>6524</v>
      </c>
      <c r="D1770" t="s">
        <v>6525</v>
      </c>
      <c r="E1770" t="s">
        <v>6526</v>
      </c>
      <c r="G1770" t="s">
        <v>12</v>
      </c>
      <c r="H1770" t="s">
        <v>13</v>
      </c>
      <c r="I1770" t="s">
        <v>6527</v>
      </c>
    </row>
    <row r="1771" spans="1:9" x14ac:dyDescent="0.25">
      <c r="A1771" t="str">
        <f>"000852169"</f>
        <v>000852169</v>
      </c>
      <c r="B1771" t="s">
        <v>6528</v>
      </c>
      <c r="D1771" t="s">
        <v>6529</v>
      </c>
      <c r="E1771" t="s">
        <v>6530</v>
      </c>
      <c r="G1771" t="s">
        <v>60</v>
      </c>
      <c r="H1771" t="s">
        <v>28</v>
      </c>
      <c r="I1771" t="s">
        <v>6531</v>
      </c>
    </row>
    <row r="1772" spans="1:9" x14ac:dyDescent="0.25">
      <c r="A1772" t="str">
        <f>"000853833"</f>
        <v>000853833</v>
      </c>
      <c r="B1772" t="s">
        <v>6532</v>
      </c>
      <c r="D1772" t="s">
        <v>6533</v>
      </c>
      <c r="G1772" t="s">
        <v>64</v>
      </c>
      <c r="H1772" t="s">
        <v>39</v>
      </c>
      <c r="I1772" t="s">
        <v>6534</v>
      </c>
    </row>
    <row r="1773" spans="1:9" ht="30" x14ac:dyDescent="0.25">
      <c r="A1773" t="str">
        <f>"000851823"</f>
        <v>000851823</v>
      </c>
      <c r="B1773" t="s">
        <v>6535</v>
      </c>
      <c r="D1773" t="s">
        <v>6536</v>
      </c>
      <c r="E1773" t="s">
        <v>6537</v>
      </c>
      <c r="F1773" t="s">
        <v>6538</v>
      </c>
      <c r="G1773" s="1" t="s">
        <v>6539</v>
      </c>
      <c r="H1773" t="s">
        <v>39</v>
      </c>
      <c r="I1773" t="s">
        <v>6540</v>
      </c>
    </row>
    <row r="1774" spans="1:9" x14ac:dyDescent="0.25">
      <c r="A1774" t="str">
        <f>"000803334"</f>
        <v>000803334</v>
      </c>
      <c r="B1774" t="s">
        <v>6541</v>
      </c>
      <c r="D1774" t="s">
        <v>6542</v>
      </c>
      <c r="G1774" t="s">
        <v>64</v>
      </c>
      <c r="H1774" t="s">
        <v>39</v>
      </c>
      <c r="I1774" t="s">
        <v>6543</v>
      </c>
    </row>
    <row r="1775" spans="1:9" x14ac:dyDescent="0.25">
      <c r="A1775" t="str">
        <f>"000803354"</f>
        <v>000803354</v>
      </c>
      <c r="B1775" t="s">
        <v>6544</v>
      </c>
      <c r="D1775" t="s">
        <v>6545</v>
      </c>
      <c r="E1775" t="s">
        <v>5697</v>
      </c>
      <c r="F1775" t="s">
        <v>6546</v>
      </c>
      <c r="G1775" t="s">
        <v>1315</v>
      </c>
      <c r="H1775" t="s">
        <v>166</v>
      </c>
      <c r="I1775" t="s">
        <v>6547</v>
      </c>
    </row>
    <row r="1776" spans="1:9" x14ac:dyDescent="0.25">
      <c r="A1776" t="str">
        <f>"000859328"</f>
        <v>000859328</v>
      </c>
      <c r="B1776" t="s">
        <v>6548</v>
      </c>
      <c r="D1776" t="s">
        <v>6549</v>
      </c>
      <c r="E1776" t="s">
        <v>6550</v>
      </c>
      <c r="G1776" t="s">
        <v>6551</v>
      </c>
      <c r="H1776" t="s">
        <v>28</v>
      </c>
      <c r="I1776" t="s">
        <v>6552</v>
      </c>
    </row>
    <row r="1777" spans="1:9" x14ac:dyDescent="0.25">
      <c r="A1777" t="str">
        <f>"000858548"</f>
        <v>000858548</v>
      </c>
      <c r="B1777" t="s">
        <v>6553</v>
      </c>
      <c r="D1777" t="s">
        <v>6554</v>
      </c>
      <c r="G1777" t="s">
        <v>6029</v>
      </c>
      <c r="H1777" t="s">
        <v>84</v>
      </c>
      <c r="I1777" t="s">
        <v>6555</v>
      </c>
    </row>
    <row r="1778" spans="1:9" x14ac:dyDescent="0.25">
      <c r="A1778" t="str">
        <f>"000868407"</f>
        <v>000868407</v>
      </c>
      <c r="B1778" t="s">
        <v>6556</v>
      </c>
      <c r="D1778" t="s">
        <v>6557</v>
      </c>
      <c r="G1778" t="s">
        <v>591</v>
      </c>
      <c r="H1778" t="s">
        <v>39</v>
      </c>
      <c r="I1778" t="s">
        <v>6558</v>
      </c>
    </row>
    <row r="1779" spans="1:9" x14ac:dyDescent="0.25">
      <c r="A1779" t="str">
        <f>"000907809"</f>
        <v>000907809</v>
      </c>
      <c r="B1779" t="s">
        <v>6559</v>
      </c>
      <c r="D1779" t="s">
        <v>6560</v>
      </c>
      <c r="G1779" t="s">
        <v>69</v>
      </c>
      <c r="H1779" t="s">
        <v>70</v>
      </c>
      <c r="I1779" t="s">
        <v>6561</v>
      </c>
    </row>
    <row r="1780" spans="1:9" x14ac:dyDescent="0.25">
      <c r="A1780" t="str">
        <f>"000802131"</f>
        <v>000802131</v>
      </c>
      <c r="B1780" t="s">
        <v>6562</v>
      </c>
      <c r="D1780" t="s">
        <v>6563</v>
      </c>
      <c r="E1780" t="s">
        <v>6564</v>
      </c>
      <c r="G1780" t="s">
        <v>6565</v>
      </c>
      <c r="H1780" t="s">
        <v>131</v>
      </c>
      <c r="I1780" t="s">
        <v>6566</v>
      </c>
    </row>
    <row r="1781" spans="1:9" x14ac:dyDescent="0.25">
      <c r="A1781" t="str">
        <f>"000802148"</f>
        <v>000802148</v>
      </c>
      <c r="B1781" t="s">
        <v>6567</v>
      </c>
      <c r="D1781" t="s">
        <v>6568</v>
      </c>
      <c r="E1781" t="s">
        <v>6569</v>
      </c>
      <c r="G1781" t="s">
        <v>591</v>
      </c>
      <c r="H1781" t="s">
        <v>39</v>
      </c>
      <c r="I1781" t="s">
        <v>6570</v>
      </c>
    </row>
    <row r="1782" spans="1:9" x14ac:dyDescent="0.25">
      <c r="A1782" t="str">
        <f>"000870801"</f>
        <v>000870801</v>
      </c>
      <c r="B1782" t="s">
        <v>6571</v>
      </c>
      <c r="D1782" t="s">
        <v>6572</v>
      </c>
      <c r="E1782" t="s">
        <v>6573</v>
      </c>
      <c r="G1782" t="s">
        <v>1652</v>
      </c>
      <c r="H1782" t="s">
        <v>39</v>
      </c>
      <c r="I1782" t="s">
        <v>6574</v>
      </c>
    </row>
    <row r="1783" spans="1:9" x14ac:dyDescent="0.25">
      <c r="A1783" t="str">
        <f>"000837364"</f>
        <v>000837364</v>
      </c>
      <c r="B1783" t="s">
        <v>6575</v>
      </c>
      <c r="D1783" t="s">
        <v>6576</v>
      </c>
      <c r="E1783" t="s">
        <v>6577</v>
      </c>
      <c r="G1783" t="s">
        <v>591</v>
      </c>
      <c r="H1783" t="s">
        <v>39</v>
      </c>
      <c r="I1783" t="s">
        <v>6578</v>
      </c>
    </row>
    <row r="1784" spans="1:9" x14ac:dyDescent="0.25">
      <c r="A1784" t="str">
        <f>"000889606"</f>
        <v>000889606</v>
      </c>
      <c r="B1784" t="s">
        <v>6579</v>
      </c>
      <c r="D1784" t="s">
        <v>6580</v>
      </c>
      <c r="G1784" t="s">
        <v>751</v>
      </c>
      <c r="H1784" t="s">
        <v>540</v>
      </c>
      <c r="I1784" t="s">
        <v>6581</v>
      </c>
    </row>
    <row r="1785" spans="1:9" x14ac:dyDescent="0.25">
      <c r="A1785" t="str">
        <f>"000857893"</f>
        <v>000857893</v>
      </c>
      <c r="B1785" t="s">
        <v>6582</v>
      </c>
      <c r="D1785" t="s">
        <v>6583</v>
      </c>
      <c r="E1785" t="s">
        <v>6584</v>
      </c>
      <c r="G1785" t="s">
        <v>83</v>
      </c>
      <c r="H1785" t="s">
        <v>84</v>
      </c>
      <c r="I1785" t="s">
        <v>6585</v>
      </c>
    </row>
    <row r="1786" spans="1:9" x14ac:dyDescent="0.25">
      <c r="A1786" t="str">
        <f>"000808720"</f>
        <v>000808720</v>
      </c>
      <c r="B1786" t="s">
        <v>6586</v>
      </c>
      <c r="D1786" t="s">
        <v>6587</v>
      </c>
      <c r="G1786" t="s">
        <v>60</v>
      </c>
      <c r="H1786" t="s">
        <v>28</v>
      </c>
      <c r="I1786" t="s">
        <v>6588</v>
      </c>
    </row>
    <row r="1787" spans="1:9" x14ac:dyDescent="0.25">
      <c r="A1787" t="str">
        <f>"000857094"</f>
        <v>000857094</v>
      </c>
      <c r="B1787" t="s">
        <v>6589</v>
      </c>
      <c r="D1787" t="s">
        <v>6590</v>
      </c>
      <c r="E1787" t="s">
        <v>6591</v>
      </c>
      <c r="G1787" t="s">
        <v>3480</v>
      </c>
      <c r="H1787" t="s">
        <v>221</v>
      </c>
      <c r="I1787" t="s">
        <v>6592</v>
      </c>
    </row>
    <row r="1788" spans="1:9" x14ac:dyDescent="0.25">
      <c r="A1788" t="str">
        <f>"000877859"</f>
        <v>000877859</v>
      </c>
      <c r="B1788" t="s">
        <v>6593</v>
      </c>
      <c r="D1788" t="s">
        <v>6594</v>
      </c>
      <c r="E1788" t="s">
        <v>6595</v>
      </c>
      <c r="G1788" t="s">
        <v>2444</v>
      </c>
      <c r="H1788" t="s">
        <v>263</v>
      </c>
      <c r="I1788" t="s">
        <v>6596</v>
      </c>
    </row>
    <row r="1789" spans="1:9" x14ac:dyDescent="0.25">
      <c r="A1789" t="str">
        <f>"000855627"</f>
        <v>000855627</v>
      </c>
      <c r="B1789" t="s">
        <v>6597</v>
      </c>
      <c r="D1789" t="s">
        <v>5697</v>
      </c>
      <c r="G1789" t="s">
        <v>1315</v>
      </c>
      <c r="H1789" t="s">
        <v>166</v>
      </c>
      <c r="I1789" t="s">
        <v>6598</v>
      </c>
    </row>
    <row r="1790" spans="1:9" x14ac:dyDescent="0.25">
      <c r="A1790" t="str">
        <f>"000891361"</f>
        <v>000891361</v>
      </c>
      <c r="B1790" t="s">
        <v>6599</v>
      </c>
      <c r="D1790" t="s">
        <v>6600</v>
      </c>
      <c r="E1790" t="s">
        <v>6601</v>
      </c>
      <c r="G1790" t="s">
        <v>170</v>
      </c>
      <c r="H1790" t="s">
        <v>171</v>
      </c>
      <c r="I1790" t="s">
        <v>6602</v>
      </c>
    </row>
    <row r="1791" spans="1:9" x14ac:dyDescent="0.25">
      <c r="A1791" t="str">
        <f>"000815750"</f>
        <v>000815750</v>
      </c>
      <c r="B1791" t="s">
        <v>6603</v>
      </c>
      <c r="D1791" t="s">
        <v>6604</v>
      </c>
      <c r="E1791" t="s">
        <v>6605</v>
      </c>
      <c r="G1791" t="s">
        <v>64</v>
      </c>
      <c r="H1791" t="s">
        <v>39</v>
      </c>
      <c r="I1791" t="s">
        <v>6606</v>
      </c>
    </row>
    <row r="1792" spans="1:9" x14ac:dyDescent="0.25">
      <c r="A1792" t="str">
        <f>"000876181"</f>
        <v>000876181</v>
      </c>
      <c r="B1792" t="s">
        <v>6607</v>
      </c>
      <c r="D1792" t="s">
        <v>5356</v>
      </c>
      <c r="G1792" t="s">
        <v>6608</v>
      </c>
      <c r="H1792" t="s">
        <v>131</v>
      </c>
      <c r="I1792" t="s">
        <v>6609</v>
      </c>
    </row>
    <row r="1793" spans="1:9" x14ac:dyDescent="0.25">
      <c r="A1793" t="str">
        <f>"000856971"</f>
        <v>000856971</v>
      </c>
      <c r="B1793" t="s">
        <v>6610</v>
      </c>
      <c r="D1793" t="s">
        <v>1566</v>
      </c>
      <c r="G1793" t="s">
        <v>1567</v>
      </c>
      <c r="H1793" t="s">
        <v>1568</v>
      </c>
      <c r="I1793" t="s">
        <v>6611</v>
      </c>
    </row>
    <row r="1794" spans="1:9" x14ac:dyDescent="0.25">
      <c r="A1794" t="str">
        <f>"000169593"</f>
        <v>000169593</v>
      </c>
      <c r="B1794" t="s">
        <v>6612</v>
      </c>
      <c r="D1794" t="s">
        <v>6613</v>
      </c>
      <c r="G1794" t="s">
        <v>1191</v>
      </c>
      <c r="H1794" t="s">
        <v>28</v>
      </c>
      <c r="I1794" t="s">
        <v>6614</v>
      </c>
    </row>
    <row r="1795" spans="1:9" x14ac:dyDescent="0.25">
      <c r="A1795" t="str">
        <f>"000157181"</f>
        <v>000157181</v>
      </c>
      <c r="B1795" t="s">
        <v>6615</v>
      </c>
      <c r="D1795" t="s">
        <v>6616</v>
      </c>
      <c r="G1795" t="s">
        <v>83</v>
      </c>
      <c r="H1795" t="s">
        <v>84</v>
      </c>
      <c r="I1795" t="s">
        <v>6617</v>
      </c>
    </row>
    <row r="1796" spans="1:9" x14ac:dyDescent="0.25">
      <c r="A1796" t="str">
        <f>"000937746"</f>
        <v>000937746</v>
      </c>
      <c r="B1796" t="s">
        <v>6618</v>
      </c>
      <c r="D1796" t="s">
        <v>6619</v>
      </c>
      <c r="E1796" t="s">
        <v>6620</v>
      </c>
      <c r="G1796" t="s">
        <v>6621</v>
      </c>
      <c r="H1796" t="s">
        <v>39</v>
      </c>
      <c r="I1796" t="s">
        <v>6622</v>
      </c>
    </row>
    <row r="1797" spans="1:9" x14ac:dyDescent="0.25">
      <c r="A1797" t="str">
        <f>"000143827"</f>
        <v>000143827</v>
      </c>
      <c r="B1797" t="s">
        <v>6623</v>
      </c>
      <c r="D1797" t="s">
        <v>6624</v>
      </c>
      <c r="G1797" t="s">
        <v>83</v>
      </c>
      <c r="H1797" t="s">
        <v>84</v>
      </c>
      <c r="I1797" t="s">
        <v>6625</v>
      </c>
    </row>
    <row r="1798" spans="1:9" x14ac:dyDescent="0.25">
      <c r="A1798" t="str">
        <f>"000890867"</f>
        <v>000890867</v>
      </c>
      <c r="B1798" t="s">
        <v>6626</v>
      </c>
      <c r="D1798" t="s">
        <v>6627</v>
      </c>
      <c r="G1798" t="s">
        <v>6628</v>
      </c>
      <c r="H1798" t="s">
        <v>39</v>
      </c>
      <c r="I1798" t="s">
        <v>6629</v>
      </c>
    </row>
    <row r="1799" spans="1:9" x14ac:dyDescent="0.25">
      <c r="A1799" t="str">
        <f>"000169892"</f>
        <v>000169892</v>
      </c>
      <c r="B1799" t="s">
        <v>6630</v>
      </c>
      <c r="D1799" t="s">
        <v>6631</v>
      </c>
      <c r="E1799" t="s">
        <v>6632</v>
      </c>
      <c r="G1799" t="s">
        <v>253</v>
      </c>
      <c r="H1799" t="s">
        <v>28</v>
      </c>
      <c r="I1799" t="s">
        <v>6633</v>
      </c>
    </row>
    <row r="1800" spans="1:9" x14ac:dyDescent="0.25">
      <c r="A1800" t="str">
        <f>"000206868"</f>
        <v>000206868</v>
      </c>
      <c r="B1800" t="s">
        <v>6634</v>
      </c>
      <c r="D1800" t="s">
        <v>6635</v>
      </c>
      <c r="E1800" t="s">
        <v>6636</v>
      </c>
      <c r="G1800" t="s">
        <v>6637</v>
      </c>
      <c r="H1800" t="s">
        <v>957</v>
      </c>
      <c r="I1800" t="s">
        <v>6638</v>
      </c>
    </row>
    <row r="1801" spans="1:9" x14ac:dyDescent="0.25">
      <c r="A1801" t="str">
        <f>"000171442"</f>
        <v>000171442</v>
      </c>
      <c r="B1801" t="s">
        <v>6639</v>
      </c>
      <c r="D1801" t="s">
        <v>6640</v>
      </c>
      <c r="G1801" t="s">
        <v>890</v>
      </c>
      <c r="H1801" t="s">
        <v>39</v>
      </c>
      <c r="I1801" t="s">
        <v>6641</v>
      </c>
    </row>
    <row r="1802" spans="1:9" x14ac:dyDescent="0.25">
      <c r="A1802" t="str">
        <f>"000869143"</f>
        <v>000869143</v>
      </c>
      <c r="B1802" t="s">
        <v>6642</v>
      </c>
      <c r="D1802" t="s">
        <v>6643</v>
      </c>
      <c r="G1802" t="s">
        <v>6644</v>
      </c>
      <c r="H1802" t="s">
        <v>84</v>
      </c>
      <c r="I1802" t="s">
        <v>6645</v>
      </c>
    </row>
    <row r="1803" spans="1:9" x14ac:dyDescent="0.25">
      <c r="A1803" t="str">
        <f>"000547824"</f>
        <v>000547824</v>
      </c>
      <c r="B1803" t="s">
        <v>6646</v>
      </c>
      <c r="D1803" t="s">
        <v>6647</v>
      </c>
      <c r="E1803" t="s">
        <v>6648</v>
      </c>
      <c r="G1803" t="s">
        <v>1599</v>
      </c>
      <c r="H1803" t="s">
        <v>477</v>
      </c>
      <c r="I1803" t="s">
        <v>6649</v>
      </c>
    </row>
    <row r="1804" spans="1:9" x14ac:dyDescent="0.25">
      <c r="A1804" t="str">
        <f>"000935035"</f>
        <v>000935035</v>
      </c>
      <c r="B1804" t="s">
        <v>6650</v>
      </c>
      <c r="D1804" t="s">
        <v>6651</v>
      </c>
      <c r="E1804" t="s">
        <v>6652</v>
      </c>
      <c r="G1804" t="s">
        <v>165</v>
      </c>
      <c r="H1804" t="s">
        <v>166</v>
      </c>
      <c r="I1804" t="s">
        <v>6653</v>
      </c>
    </row>
    <row r="1805" spans="1:9" x14ac:dyDescent="0.25">
      <c r="A1805" t="str">
        <f>"000178217"</f>
        <v>000178217</v>
      </c>
      <c r="B1805" t="s">
        <v>6654</v>
      </c>
      <c r="D1805" t="s">
        <v>6655</v>
      </c>
      <c r="G1805" t="s">
        <v>64</v>
      </c>
      <c r="H1805" t="s">
        <v>39</v>
      </c>
      <c r="I1805" t="s">
        <v>6656</v>
      </c>
    </row>
    <row r="1806" spans="1:9" x14ac:dyDescent="0.25">
      <c r="A1806" t="str">
        <f>"000200614"</f>
        <v>000200614</v>
      </c>
      <c r="B1806" t="s">
        <v>6657</v>
      </c>
      <c r="D1806" t="s">
        <v>6658</v>
      </c>
      <c r="G1806" t="s">
        <v>170</v>
      </c>
      <c r="H1806" t="s">
        <v>171</v>
      </c>
      <c r="I1806" t="s">
        <v>6659</v>
      </c>
    </row>
    <row r="1807" spans="1:9" x14ac:dyDescent="0.25">
      <c r="A1807" t="str">
        <f>"000912407"</f>
        <v>000912407</v>
      </c>
      <c r="B1807" t="s">
        <v>6660</v>
      </c>
      <c r="D1807" t="s">
        <v>6661</v>
      </c>
      <c r="G1807" t="s">
        <v>1242</v>
      </c>
      <c r="H1807" t="s">
        <v>221</v>
      </c>
      <c r="I1807" t="s">
        <v>6662</v>
      </c>
    </row>
    <row r="1808" spans="1:9" x14ac:dyDescent="0.25">
      <c r="A1808" t="str">
        <f>"000210372"</f>
        <v>000210372</v>
      </c>
      <c r="B1808" t="s">
        <v>6663</v>
      </c>
      <c r="D1808" t="s">
        <v>6664</v>
      </c>
      <c r="G1808" t="s">
        <v>64</v>
      </c>
      <c r="H1808" t="s">
        <v>39</v>
      </c>
      <c r="I1808" t="s">
        <v>6665</v>
      </c>
    </row>
    <row r="1809" spans="1:9" x14ac:dyDescent="0.25">
      <c r="A1809" t="str">
        <f>"000153859"</f>
        <v>000153859</v>
      </c>
      <c r="B1809" t="s">
        <v>6666</v>
      </c>
      <c r="D1809" t="s">
        <v>2732</v>
      </c>
      <c r="G1809" t="s">
        <v>291</v>
      </c>
      <c r="H1809" t="s">
        <v>182</v>
      </c>
      <c r="I1809" t="s">
        <v>6667</v>
      </c>
    </row>
    <row r="1810" spans="1:9" x14ac:dyDescent="0.25">
      <c r="A1810" t="str">
        <f>"000598955"</f>
        <v>000598955</v>
      </c>
      <c r="B1810" t="s">
        <v>6668</v>
      </c>
      <c r="D1810" t="s">
        <v>6669</v>
      </c>
      <c r="E1810" t="s">
        <v>6670</v>
      </c>
      <c r="G1810" t="s">
        <v>64</v>
      </c>
      <c r="H1810" t="s">
        <v>39</v>
      </c>
      <c r="I1810" t="s">
        <v>6671</v>
      </c>
    </row>
    <row r="1811" spans="1:9" x14ac:dyDescent="0.25">
      <c r="A1811" t="str">
        <f>"000156765"</f>
        <v>000156765</v>
      </c>
      <c r="B1811" t="s">
        <v>6672</v>
      </c>
      <c r="D1811" t="s">
        <v>6673</v>
      </c>
      <c r="E1811" t="s">
        <v>6674</v>
      </c>
      <c r="F1811" t="s">
        <v>6675</v>
      </c>
      <c r="G1811" t="s">
        <v>6676</v>
      </c>
      <c r="H1811" t="s">
        <v>131</v>
      </c>
      <c r="I1811" t="s">
        <v>6677</v>
      </c>
    </row>
    <row r="1812" spans="1:9" x14ac:dyDescent="0.25">
      <c r="A1812" t="str">
        <f>"000220986"</f>
        <v>000220986</v>
      </c>
      <c r="B1812" t="s">
        <v>6678</v>
      </c>
      <c r="D1812" t="s">
        <v>6679</v>
      </c>
      <c r="E1812" t="s">
        <v>6680</v>
      </c>
      <c r="F1812" t="s">
        <v>6681</v>
      </c>
      <c r="G1812" t="s">
        <v>64</v>
      </c>
      <c r="H1812" t="s">
        <v>39</v>
      </c>
      <c r="I1812" t="s">
        <v>6682</v>
      </c>
    </row>
    <row r="1813" spans="1:9" x14ac:dyDescent="0.25">
      <c r="A1813" t="str">
        <f>"000161720"</f>
        <v>000161720</v>
      </c>
      <c r="B1813" t="s">
        <v>6683</v>
      </c>
      <c r="D1813" t="s">
        <v>6684</v>
      </c>
      <c r="E1813" t="s">
        <v>6685</v>
      </c>
      <c r="G1813" t="s">
        <v>275</v>
      </c>
      <c r="H1813" t="s">
        <v>23</v>
      </c>
      <c r="I1813" t="s">
        <v>6686</v>
      </c>
    </row>
    <row r="1814" spans="1:9" x14ac:dyDescent="0.25">
      <c r="A1814" t="str">
        <f>"000221969"</f>
        <v>000221969</v>
      </c>
      <c r="B1814" t="s">
        <v>6687</v>
      </c>
      <c r="D1814" t="s">
        <v>6688</v>
      </c>
      <c r="G1814" t="s">
        <v>628</v>
      </c>
      <c r="I1814">
        <v>75005</v>
      </c>
    </row>
    <row r="1815" spans="1:9" x14ac:dyDescent="0.25">
      <c r="A1815" t="str">
        <f>"000218083"</f>
        <v>000218083</v>
      </c>
      <c r="B1815" t="s">
        <v>6689</v>
      </c>
      <c r="D1815" t="s">
        <v>6690</v>
      </c>
      <c r="G1815" t="s">
        <v>275</v>
      </c>
      <c r="H1815" t="s">
        <v>23</v>
      </c>
      <c r="I1815" t="s">
        <v>6691</v>
      </c>
    </row>
    <row r="1816" spans="1:9" x14ac:dyDescent="0.25">
      <c r="A1816" t="str">
        <f>"000197178"</f>
        <v>000197178</v>
      </c>
      <c r="B1816" t="s">
        <v>6692</v>
      </c>
      <c r="D1816" t="s">
        <v>6693</v>
      </c>
      <c r="E1816" t="s">
        <v>980</v>
      </c>
      <c r="G1816" t="s">
        <v>130</v>
      </c>
      <c r="H1816" t="s">
        <v>131</v>
      </c>
      <c r="I1816" t="s">
        <v>6694</v>
      </c>
    </row>
    <row r="1817" spans="1:9" x14ac:dyDescent="0.25">
      <c r="A1817" t="str">
        <f>"000926464"</f>
        <v>000926464</v>
      </c>
      <c r="B1817" t="s">
        <v>6695</v>
      </c>
      <c r="D1817" t="s">
        <v>4380</v>
      </c>
      <c r="E1817" t="s">
        <v>6696</v>
      </c>
      <c r="G1817" t="s">
        <v>64</v>
      </c>
      <c r="H1817" t="s">
        <v>39</v>
      </c>
      <c r="I1817" t="s">
        <v>6697</v>
      </c>
    </row>
    <row r="1818" spans="1:9" x14ac:dyDescent="0.25">
      <c r="A1818" t="str">
        <f>"000185413"</f>
        <v>000185413</v>
      </c>
      <c r="B1818" t="s">
        <v>6698</v>
      </c>
      <c r="D1818" t="s">
        <v>6699</v>
      </c>
      <c r="E1818" t="s">
        <v>6700</v>
      </c>
      <c r="G1818" t="s">
        <v>984</v>
      </c>
      <c r="H1818" t="s">
        <v>263</v>
      </c>
      <c r="I1818" t="s">
        <v>6701</v>
      </c>
    </row>
    <row r="1819" spans="1:9" x14ac:dyDescent="0.25">
      <c r="A1819" t="str">
        <f>"000176608"</f>
        <v>000176608</v>
      </c>
      <c r="B1819" t="s">
        <v>6702</v>
      </c>
      <c r="D1819" t="s">
        <v>6703</v>
      </c>
      <c r="G1819" t="s">
        <v>6704</v>
      </c>
      <c r="I1819" t="s">
        <v>2557</v>
      </c>
    </row>
    <row r="1820" spans="1:9" x14ac:dyDescent="0.25">
      <c r="A1820" t="str">
        <f>"000323049"</f>
        <v>000323049</v>
      </c>
      <c r="B1820" t="s">
        <v>6705</v>
      </c>
      <c r="D1820" t="s">
        <v>6706</v>
      </c>
      <c r="G1820" t="s">
        <v>6707</v>
      </c>
      <c r="H1820" t="s">
        <v>28</v>
      </c>
      <c r="I1820" t="s">
        <v>6708</v>
      </c>
    </row>
    <row r="1821" spans="1:9" x14ac:dyDescent="0.25">
      <c r="A1821" t="str">
        <f>"000322330"</f>
        <v>000322330</v>
      </c>
      <c r="B1821" t="s">
        <v>6709</v>
      </c>
      <c r="D1821" t="s">
        <v>6325</v>
      </c>
      <c r="E1821" t="s">
        <v>6710</v>
      </c>
      <c r="G1821" t="s">
        <v>6711</v>
      </c>
      <c r="H1821" t="s">
        <v>39</v>
      </c>
      <c r="I1821">
        <v>63101</v>
      </c>
    </row>
    <row r="1822" spans="1:9" x14ac:dyDescent="0.25">
      <c r="A1822" t="str">
        <f>"000180622"</f>
        <v>000180622</v>
      </c>
      <c r="B1822" t="s">
        <v>6712</v>
      </c>
      <c r="D1822" t="s">
        <v>6713</v>
      </c>
      <c r="G1822" t="s">
        <v>64</v>
      </c>
      <c r="H1822" t="s">
        <v>39</v>
      </c>
      <c r="I1822" t="s">
        <v>6714</v>
      </c>
    </row>
    <row r="1823" spans="1:9" x14ac:dyDescent="0.25">
      <c r="A1823" t="str">
        <f>"000324046"</f>
        <v>000324046</v>
      </c>
      <c r="B1823" t="s">
        <v>6715</v>
      </c>
      <c r="D1823" t="s">
        <v>6716</v>
      </c>
      <c r="G1823" t="s">
        <v>1113</v>
      </c>
      <c r="H1823" t="s">
        <v>34</v>
      </c>
      <c r="I1823" t="s">
        <v>6717</v>
      </c>
    </row>
    <row r="1824" spans="1:9" x14ac:dyDescent="0.25">
      <c r="A1824" t="str">
        <f>"000186047"</f>
        <v>000186047</v>
      </c>
      <c r="B1824" t="s">
        <v>6718</v>
      </c>
      <c r="D1824" t="s">
        <v>6719</v>
      </c>
      <c r="G1824" t="s">
        <v>4623</v>
      </c>
      <c r="H1824" t="s">
        <v>1012</v>
      </c>
      <c r="I1824" t="s">
        <v>6720</v>
      </c>
    </row>
    <row r="1825" spans="1:9" x14ac:dyDescent="0.25">
      <c r="A1825" t="str">
        <f>"000322820"</f>
        <v>000322820</v>
      </c>
      <c r="B1825" t="s">
        <v>6721</v>
      </c>
      <c r="D1825" t="s">
        <v>6722</v>
      </c>
      <c r="G1825" t="s">
        <v>242</v>
      </c>
      <c r="H1825" t="s">
        <v>161</v>
      </c>
      <c r="I1825" t="s">
        <v>6723</v>
      </c>
    </row>
    <row r="1826" spans="1:9" x14ac:dyDescent="0.25">
      <c r="A1826" t="str">
        <f>"000322547"</f>
        <v>000322547</v>
      </c>
      <c r="B1826" t="s">
        <v>6724</v>
      </c>
      <c r="D1826" t="s">
        <v>6725</v>
      </c>
      <c r="G1826" t="s">
        <v>60</v>
      </c>
      <c r="H1826" t="s">
        <v>28</v>
      </c>
      <c r="I1826" t="s">
        <v>6726</v>
      </c>
    </row>
    <row r="1827" spans="1:9" x14ac:dyDescent="0.25">
      <c r="A1827" t="str">
        <f>"000322342"</f>
        <v>000322342</v>
      </c>
      <c r="B1827" t="s">
        <v>6727</v>
      </c>
      <c r="D1827" t="s">
        <v>6728</v>
      </c>
      <c r="E1827" t="s">
        <v>6729</v>
      </c>
      <c r="G1827" t="s">
        <v>69</v>
      </c>
      <c r="H1827" t="s">
        <v>70</v>
      </c>
      <c r="I1827" t="s">
        <v>6730</v>
      </c>
    </row>
    <row r="1828" spans="1:9" x14ac:dyDescent="0.25">
      <c r="A1828" t="str">
        <f>"000322366"</f>
        <v>000322366</v>
      </c>
      <c r="B1828" t="s">
        <v>6731</v>
      </c>
      <c r="D1828" t="s">
        <v>6732</v>
      </c>
      <c r="E1828" t="s">
        <v>6733</v>
      </c>
      <c r="F1828" t="s">
        <v>6734</v>
      </c>
      <c r="G1828" t="s">
        <v>6735</v>
      </c>
      <c r="H1828" t="s">
        <v>13</v>
      </c>
      <c r="I1828" t="s">
        <v>6736</v>
      </c>
    </row>
    <row r="1829" spans="1:9" x14ac:dyDescent="0.25">
      <c r="A1829" t="str">
        <f>"000322570"</f>
        <v>000322570</v>
      </c>
      <c r="B1829" t="s">
        <v>6737</v>
      </c>
      <c r="D1829" t="s">
        <v>6738</v>
      </c>
      <c r="G1829" t="s">
        <v>214</v>
      </c>
      <c r="H1829" t="s">
        <v>120</v>
      </c>
      <c r="I1829" t="s">
        <v>6739</v>
      </c>
    </row>
    <row r="1830" spans="1:9" x14ac:dyDescent="0.25">
      <c r="A1830" t="str">
        <f>"000324113"</f>
        <v>000324113</v>
      </c>
      <c r="B1830" t="s">
        <v>6740</v>
      </c>
      <c r="D1830" t="s">
        <v>6741</v>
      </c>
      <c r="E1830" t="s">
        <v>6742</v>
      </c>
      <c r="G1830" t="s">
        <v>64</v>
      </c>
      <c r="H1830" t="s">
        <v>39</v>
      </c>
      <c r="I1830" t="s">
        <v>6743</v>
      </c>
    </row>
    <row r="1831" spans="1:9" x14ac:dyDescent="0.25">
      <c r="A1831" t="str">
        <f>"000322686"</f>
        <v>000322686</v>
      </c>
      <c r="B1831" t="s">
        <v>6744</v>
      </c>
      <c r="D1831" t="s">
        <v>6745</v>
      </c>
      <c r="G1831" t="s">
        <v>242</v>
      </c>
      <c r="H1831" t="s">
        <v>161</v>
      </c>
      <c r="I1831" t="s">
        <v>6746</v>
      </c>
    </row>
    <row r="1832" spans="1:9" x14ac:dyDescent="0.25">
      <c r="A1832" t="str">
        <f>"000322754"</f>
        <v>000322754</v>
      </c>
      <c r="B1832" t="s">
        <v>6747</v>
      </c>
      <c r="D1832" t="s">
        <v>6748</v>
      </c>
      <c r="G1832" t="s">
        <v>160</v>
      </c>
      <c r="H1832" t="s">
        <v>161</v>
      </c>
      <c r="I1832" t="s">
        <v>6749</v>
      </c>
    </row>
    <row r="1833" spans="1:9" x14ac:dyDescent="0.25">
      <c r="A1833" t="str">
        <f>"000324218"</f>
        <v>000324218</v>
      </c>
      <c r="B1833" t="s">
        <v>6750</v>
      </c>
      <c r="D1833" t="s">
        <v>6751</v>
      </c>
      <c r="E1833" t="s">
        <v>6752</v>
      </c>
      <c r="F1833" t="s">
        <v>6753</v>
      </c>
      <c r="G1833" t="s">
        <v>364</v>
      </c>
      <c r="H1833" t="s">
        <v>365</v>
      </c>
      <c r="I1833" t="s">
        <v>6754</v>
      </c>
    </row>
    <row r="1834" spans="1:9" x14ac:dyDescent="0.25">
      <c r="A1834" t="str">
        <f>"000322607"</f>
        <v>000322607</v>
      </c>
      <c r="B1834" t="s">
        <v>6755</v>
      </c>
      <c r="D1834" t="s">
        <v>6756</v>
      </c>
      <c r="G1834" t="s">
        <v>5583</v>
      </c>
      <c r="H1834" t="s">
        <v>28</v>
      </c>
      <c r="I1834" t="s">
        <v>6757</v>
      </c>
    </row>
    <row r="1835" spans="1:9" x14ac:dyDescent="0.25">
      <c r="A1835" t="str">
        <f>"000322400"</f>
        <v>000322400</v>
      </c>
      <c r="B1835" t="s">
        <v>6758</v>
      </c>
      <c r="D1835" t="s">
        <v>6759</v>
      </c>
      <c r="G1835" t="s">
        <v>214</v>
      </c>
      <c r="H1835" t="s">
        <v>120</v>
      </c>
      <c r="I1835" t="s">
        <v>6760</v>
      </c>
    </row>
    <row r="1836" spans="1:9" x14ac:dyDescent="0.25">
      <c r="A1836" t="str">
        <f>"000225274"</f>
        <v>000225274</v>
      </c>
      <c r="B1836" t="s">
        <v>6761</v>
      </c>
      <c r="D1836" t="s">
        <v>6762</v>
      </c>
      <c r="G1836" t="s">
        <v>1256</v>
      </c>
      <c r="H1836" t="s">
        <v>75</v>
      </c>
      <c r="I1836" t="s">
        <v>6763</v>
      </c>
    </row>
    <row r="1837" spans="1:9" x14ac:dyDescent="0.25">
      <c r="A1837" t="str">
        <f>"000201347"</f>
        <v>000201347</v>
      </c>
      <c r="B1837" t="s">
        <v>6764</v>
      </c>
      <c r="D1837" t="s">
        <v>6765</v>
      </c>
      <c r="E1837" t="s">
        <v>6766</v>
      </c>
      <c r="G1837" t="s">
        <v>688</v>
      </c>
      <c r="H1837" t="s">
        <v>28</v>
      </c>
      <c r="I1837" t="s">
        <v>6767</v>
      </c>
    </row>
    <row r="1838" spans="1:9" x14ac:dyDescent="0.25">
      <c r="A1838" t="str">
        <f>"000224247"</f>
        <v>000224247</v>
      </c>
      <c r="B1838" t="s">
        <v>6768</v>
      </c>
      <c r="D1838" t="s">
        <v>6769</v>
      </c>
      <c r="G1838" t="s">
        <v>64</v>
      </c>
      <c r="H1838" t="s">
        <v>39</v>
      </c>
      <c r="I1838" t="s">
        <v>6770</v>
      </c>
    </row>
    <row r="1839" spans="1:9" x14ac:dyDescent="0.25">
      <c r="A1839" t="str">
        <f>"000237817"</f>
        <v>000237817</v>
      </c>
      <c r="B1839" t="s">
        <v>6771</v>
      </c>
      <c r="D1839" t="s">
        <v>6772</v>
      </c>
      <c r="G1839" t="s">
        <v>6773</v>
      </c>
      <c r="H1839" t="s">
        <v>84</v>
      </c>
      <c r="I1839" t="s">
        <v>6774</v>
      </c>
    </row>
    <row r="1840" spans="1:9" x14ac:dyDescent="0.25">
      <c r="A1840" t="str">
        <f>"000246723"</f>
        <v>000246723</v>
      </c>
      <c r="B1840" t="s">
        <v>6775</v>
      </c>
      <c r="D1840" t="s">
        <v>6716</v>
      </c>
      <c r="G1840" t="s">
        <v>6776</v>
      </c>
      <c r="H1840" t="s">
        <v>34</v>
      </c>
      <c r="I1840" t="s">
        <v>6777</v>
      </c>
    </row>
    <row r="1841" spans="1:9" x14ac:dyDescent="0.25">
      <c r="A1841" t="str">
        <f>"000235610"</f>
        <v>000235610</v>
      </c>
      <c r="B1841" t="s">
        <v>6778</v>
      </c>
      <c r="D1841" t="s">
        <v>6779</v>
      </c>
      <c r="G1841" t="s">
        <v>64</v>
      </c>
      <c r="H1841" t="s">
        <v>39</v>
      </c>
      <c r="I1841" t="s">
        <v>6780</v>
      </c>
    </row>
    <row r="1842" spans="1:9" x14ac:dyDescent="0.25">
      <c r="A1842" t="str">
        <f>"000244085"</f>
        <v>000244085</v>
      </c>
      <c r="B1842" t="s">
        <v>6781</v>
      </c>
      <c r="D1842" t="s">
        <v>6782</v>
      </c>
      <c r="G1842" t="s">
        <v>136</v>
      </c>
      <c r="H1842" t="s">
        <v>28</v>
      </c>
      <c r="I1842" t="s">
        <v>6783</v>
      </c>
    </row>
    <row r="1843" spans="1:9" x14ac:dyDescent="0.25">
      <c r="A1843" t="str">
        <f>"000269256"</f>
        <v>000269256</v>
      </c>
      <c r="B1843" t="s">
        <v>6784</v>
      </c>
      <c r="D1843" t="s">
        <v>6785</v>
      </c>
      <c r="G1843" t="s">
        <v>6786</v>
      </c>
      <c r="H1843" t="s">
        <v>39</v>
      </c>
      <c r="I1843" t="s">
        <v>6787</v>
      </c>
    </row>
    <row r="1844" spans="1:9" x14ac:dyDescent="0.25">
      <c r="A1844" t="str">
        <f>"000335457"</f>
        <v>000335457</v>
      </c>
      <c r="B1844" t="s">
        <v>6788</v>
      </c>
      <c r="D1844" t="s">
        <v>6789</v>
      </c>
      <c r="E1844" t="s">
        <v>6790</v>
      </c>
      <c r="G1844" t="s">
        <v>653</v>
      </c>
      <c r="H1844" t="s">
        <v>51</v>
      </c>
      <c r="I1844" t="s">
        <v>6791</v>
      </c>
    </row>
    <row r="1845" spans="1:9" x14ac:dyDescent="0.25">
      <c r="A1845" t="str">
        <f>"000299216"</f>
        <v>000299216</v>
      </c>
      <c r="B1845" t="s">
        <v>6792</v>
      </c>
      <c r="D1845" t="s">
        <v>6793</v>
      </c>
      <c r="E1845" t="s">
        <v>6794</v>
      </c>
      <c r="G1845" t="s">
        <v>2664</v>
      </c>
      <c r="H1845" t="s">
        <v>131</v>
      </c>
      <c r="I1845" t="s">
        <v>6795</v>
      </c>
    </row>
    <row r="1846" spans="1:9" x14ac:dyDescent="0.25">
      <c r="A1846" t="str">
        <f>"000283527"</f>
        <v>000283527</v>
      </c>
      <c r="B1846" t="s">
        <v>6796</v>
      </c>
      <c r="D1846" t="s">
        <v>6797</v>
      </c>
      <c r="E1846" t="s">
        <v>6798</v>
      </c>
      <c r="G1846" t="s">
        <v>391</v>
      </c>
      <c r="H1846" t="s">
        <v>296</v>
      </c>
      <c r="I1846" t="s">
        <v>6799</v>
      </c>
    </row>
    <row r="1847" spans="1:9" x14ac:dyDescent="0.25">
      <c r="A1847" t="str">
        <f>"000288593"</f>
        <v>000288593</v>
      </c>
      <c r="B1847" t="s">
        <v>6800</v>
      </c>
      <c r="D1847" t="s">
        <v>6370</v>
      </c>
      <c r="E1847" t="s">
        <v>6801</v>
      </c>
      <c r="G1847" t="s">
        <v>6279</v>
      </c>
      <c r="H1847" t="s">
        <v>827</v>
      </c>
      <c r="I1847" t="s">
        <v>6802</v>
      </c>
    </row>
    <row r="1848" spans="1:9" x14ac:dyDescent="0.25">
      <c r="A1848" t="str">
        <f>"000369554"</f>
        <v>000369554</v>
      </c>
      <c r="B1848" t="s">
        <v>6803</v>
      </c>
      <c r="D1848" t="s">
        <v>6804</v>
      </c>
      <c r="G1848" t="s">
        <v>64</v>
      </c>
      <c r="H1848" t="s">
        <v>39</v>
      </c>
      <c r="I1848" t="s">
        <v>6805</v>
      </c>
    </row>
    <row r="1849" spans="1:9" x14ac:dyDescent="0.25">
      <c r="A1849" t="str">
        <f>"000370559"</f>
        <v>000370559</v>
      </c>
      <c r="B1849" t="s">
        <v>6806</v>
      </c>
      <c r="D1849" t="s">
        <v>6807</v>
      </c>
      <c r="G1849" t="s">
        <v>64</v>
      </c>
      <c r="H1849" t="s">
        <v>39</v>
      </c>
      <c r="I1849" t="s">
        <v>6808</v>
      </c>
    </row>
    <row r="1850" spans="1:9" x14ac:dyDescent="0.25">
      <c r="A1850" t="str">
        <f>"000366474"</f>
        <v>000366474</v>
      </c>
      <c r="B1850" t="s">
        <v>6809</v>
      </c>
      <c r="D1850" t="s">
        <v>6810</v>
      </c>
      <c r="G1850" t="s">
        <v>382</v>
      </c>
      <c r="I1850" t="s">
        <v>6811</v>
      </c>
    </row>
    <row r="1851" spans="1:9" x14ac:dyDescent="0.25">
      <c r="A1851" t="str">
        <f>"000388868"</f>
        <v>000388868</v>
      </c>
      <c r="B1851" t="s">
        <v>6812</v>
      </c>
      <c r="D1851" t="s">
        <v>6813</v>
      </c>
      <c r="G1851" t="s">
        <v>6814</v>
      </c>
      <c r="H1851" t="s">
        <v>28</v>
      </c>
      <c r="I1851" t="s">
        <v>6815</v>
      </c>
    </row>
    <row r="1852" spans="1:9" x14ac:dyDescent="0.25">
      <c r="A1852" t="str">
        <f>"000391906"</f>
        <v>000391906</v>
      </c>
      <c r="B1852" t="s">
        <v>6816</v>
      </c>
      <c r="D1852" t="s">
        <v>6817</v>
      </c>
      <c r="G1852" t="s">
        <v>64</v>
      </c>
      <c r="H1852" t="s">
        <v>39</v>
      </c>
      <c r="I1852" t="s">
        <v>6818</v>
      </c>
    </row>
    <row r="1853" spans="1:9" x14ac:dyDescent="0.25">
      <c r="A1853" t="str">
        <f>"000389720"</f>
        <v>000389720</v>
      </c>
      <c r="B1853" t="s">
        <v>6819</v>
      </c>
      <c r="D1853" t="s">
        <v>6820</v>
      </c>
      <c r="E1853" t="s">
        <v>6821</v>
      </c>
      <c r="G1853" t="s">
        <v>6822</v>
      </c>
      <c r="H1853" t="s">
        <v>540</v>
      </c>
      <c r="I1853" t="s">
        <v>6823</v>
      </c>
    </row>
    <row r="1854" spans="1:9" x14ac:dyDescent="0.25">
      <c r="A1854" t="str">
        <f>"000389584"</f>
        <v>000389584</v>
      </c>
      <c r="B1854" t="s">
        <v>6824</v>
      </c>
      <c r="D1854" t="s">
        <v>6825</v>
      </c>
      <c r="G1854" t="s">
        <v>267</v>
      </c>
      <c r="H1854" t="s">
        <v>39</v>
      </c>
      <c r="I1854" t="s">
        <v>6826</v>
      </c>
    </row>
    <row r="1855" spans="1:9" x14ac:dyDescent="0.25">
      <c r="A1855" t="str">
        <f>"000389426"</f>
        <v>000389426</v>
      </c>
      <c r="B1855" t="s">
        <v>6827</v>
      </c>
      <c r="D1855" t="s">
        <v>6828</v>
      </c>
      <c r="E1855" t="s">
        <v>6829</v>
      </c>
      <c r="F1855" t="s">
        <v>6830</v>
      </c>
      <c r="G1855" t="s">
        <v>1349</v>
      </c>
      <c r="H1855" t="s">
        <v>614</v>
      </c>
      <c r="I1855" t="s">
        <v>6831</v>
      </c>
    </row>
    <row r="1856" spans="1:9" x14ac:dyDescent="0.25">
      <c r="A1856" t="str">
        <f>"000409372"</f>
        <v>000409372</v>
      </c>
      <c r="B1856" t="s">
        <v>6832</v>
      </c>
      <c r="D1856" t="s">
        <v>6833</v>
      </c>
      <c r="E1856" t="s">
        <v>6834</v>
      </c>
      <c r="G1856" t="s">
        <v>253</v>
      </c>
      <c r="H1856" t="s">
        <v>39</v>
      </c>
      <c r="I1856" t="s">
        <v>6835</v>
      </c>
    </row>
    <row r="1857" spans="1:9" x14ac:dyDescent="0.25">
      <c r="A1857" t="str">
        <f>"000427714"</f>
        <v>000427714</v>
      </c>
      <c r="B1857" t="s">
        <v>6836</v>
      </c>
      <c r="D1857" t="s">
        <v>6837</v>
      </c>
      <c r="E1857" t="s">
        <v>6838</v>
      </c>
      <c r="F1857" t="s">
        <v>6839</v>
      </c>
      <c r="G1857" t="s">
        <v>6840</v>
      </c>
      <c r="H1857" t="s">
        <v>13</v>
      </c>
      <c r="I1857" t="s">
        <v>6841</v>
      </c>
    </row>
    <row r="1858" spans="1:9" x14ac:dyDescent="0.25">
      <c r="A1858" t="str">
        <f>"000435160"</f>
        <v>000435160</v>
      </c>
      <c r="B1858" t="s">
        <v>6842</v>
      </c>
      <c r="D1858" t="s">
        <v>599</v>
      </c>
      <c r="E1858" t="s">
        <v>6843</v>
      </c>
      <c r="G1858" t="s">
        <v>64</v>
      </c>
      <c r="H1858" t="s">
        <v>39</v>
      </c>
      <c r="I1858" t="s">
        <v>6844</v>
      </c>
    </row>
    <row r="1859" spans="1:9" x14ac:dyDescent="0.25">
      <c r="A1859" t="str">
        <f>"000431375"</f>
        <v>000431375</v>
      </c>
      <c r="B1859" t="s">
        <v>6845</v>
      </c>
      <c r="D1859" t="s">
        <v>2175</v>
      </c>
      <c r="G1859" t="s">
        <v>2176</v>
      </c>
      <c r="H1859" t="s">
        <v>75</v>
      </c>
      <c r="I1859" t="s">
        <v>6846</v>
      </c>
    </row>
    <row r="1860" spans="1:9" x14ac:dyDescent="0.25">
      <c r="A1860" t="str">
        <f>"000428938"</f>
        <v>000428938</v>
      </c>
      <c r="B1860" t="s">
        <v>6847</v>
      </c>
      <c r="D1860" t="s">
        <v>6848</v>
      </c>
      <c r="G1860" t="s">
        <v>6849</v>
      </c>
      <c r="I1860" t="s">
        <v>567</v>
      </c>
    </row>
    <row r="1861" spans="1:9" x14ac:dyDescent="0.25">
      <c r="A1861" t="str">
        <f>"000439039"</f>
        <v>000439039</v>
      </c>
      <c r="B1861" t="s">
        <v>6850</v>
      </c>
      <c r="D1861" t="s">
        <v>6851</v>
      </c>
      <c r="G1861" t="s">
        <v>6852</v>
      </c>
      <c r="H1861" t="s">
        <v>13</v>
      </c>
      <c r="I1861" t="s">
        <v>6853</v>
      </c>
    </row>
    <row r="1862" spans="1:9" x14ac:dyDescent="0.25">
      <c r="A1862" t="str">
        <f>"000448687"</f>
        <v>000448687</v>
      </c>
      <c r="B1862" t="s">
        <v>6854</v>
      </c>
      <c r="D1862" t="s">
        <v>6855</v>
      </c>
      <c r="G1862" t="s">
        <v>591</v>
      </c>
      <c r="H1862" t="s">
        <v>39</v>
      </c>
      <c r="I1862" t="s">
        <v>6856</v>
      </c>
    </row>
    <row r="1863" spans="1:9" x14ac:dyDescent="0.25">
      <c r="A1863" t="str">
        <f>"000474604"</f>
        <v>000474604</v>
      </c>
      <c r="B1863" t="s">
        <v>6857</v>
      </c>
      <c r="D1863" t="s">
        <v>6858</v>
      </c>
      <c r="E1863" t="s">
        <v>6859</v>
      </c>
      <c r="F1863" t="s">
        <v>6860</v>
      </c>
      <c r="G1863" t="s">
        <v>6861</v>
      </c>
      <c r="H1863" t="s">
        <v>957</v>
      </c>
      <c r="I1863">
        <v>72467</v>
      </c>
    </row>
    <row r="1864" spans="1:9" x14ac:dyDescent="0.25">
      <c r="A1864" t="str">
        <f>"000470922"</f>
        <v>000470922</v>
      </c>
      <c r="B1864" t="s">
        <v>6862</v>
      </c>
      <c r="D1864" t="s">
        <v>6863</v>
      </c>
      <c r="G1864" t="s">
        <v>83</v>
      </c>
      <c r="H1864" t="s">
        <v>84</v>
      </c>
      <c r="I1864" t="s">
        <v>6864</v>
      </c>
    </row>
    <row r="1865" spans="1:9" x14ac:dyDescent="0.25">
      <c r="A1865" t="str">
        <f>"000455619"</f>
        <v>000455619</v>
      </c>
      <c r="B1865" t="s">
        <v>6865</v>
      </c>
      <c r="D1865" t="s">
        <v>6866</v>
      </c>
      <c r="E1865" t="s">
        <v>6867</v>
      </c>
      <c r="G1865" t="s">
        <v>12</v>
      </c>
      <c r="H1865" t="s">
        <v>13</v>
      </c>
      <c r="I1865" t="s">
        <v>6868</v>
      </c>
    </row>
    <row r="1866" spans="1:9" x14ac:dyDescent="0.25">
      <c r="A1866" t="str">
        <f>"000445091"</f>
        <v>000445091</v>
      </c>
      <c r="B1866" t="s">
        <v>6869</v>
      </c>
      <c r="D1866" t="s">
        <v>6870</v>
      </c>
      <c r="G1866" t="s">
        <v>6871</v>
      </c>
      <c r="H1866" t="s">
        <v>75</v>
      </c>
      <c r="I1866" t="s">
        <v>6872</v>
      </c>
    </row>
    <row r="1867" spans="1:9" x14ac:dyDescent="0.25">
      <c r="A1867" t="str">
        <f>"000451014"</f>
        <v>000451014</v>
      </c>
      <c r="B1867" t="s">
        <v>6873</v>
      </c>
      <c r="D1867" t="s">
        <v>6874</v>
      </c>
      <c r="G1867" t="s">
        <v>64</v>
      </c>
      <c r="H1867" t="s">
        <v>39</v>
      </c>
      <c r="I1867" t="s">
        <v>6875</v>
      </c>
    </row>
    <row r="1868" spans="1:9" x14ac:dyDescent="0.25">
      <c r="A1868" t="str">
        <f>"000478556"</f>
        <v>000478556</v>
      </c>
      <c r="B1868" t="s">
        <v>6876</v>
      </c>
      <c r="D1868" t="s">
        <v>6877</v>
      </c>
      <c r="G1868" t="s">
        <v>64</v>
      </c>
      <c r="H1868" t="s">
        <v>39</v>
      </c>
      <c r="I1868" t="s">
        <v>6878</v>
      </c>
    </row>
    <row r="1869" spans="1:9" x14ac:dyDescent="0.25">
      <c r="A1869" t="str">
        <f>"000478705"</f>
        <v>000478705</v>
      </c>
      <c r="B1869" t="s">
        <v>6879</v>
      </c>
      <c r="D1869" t="s">
        <v>6880</v>
      </c>
      <c r="G1869" t="s">
        <v>64</v>
      </c>
      <c r="H1869" t="s">
        <v>39</v>
      </c>
      <c r="I1869" t="s">
        <v>6881</v>
      </c>
    </row>
    <row r="1870" spans="1:9" x14ac:dyDescent="0.25">
      <c r="A1870" t="str">
        <f>"000502621"</f>
        <v>000502621</v>
      </c>
      <c r="B1870" t="s">
        <v>6882</v>
      </c>
      <c r="D1870" t="s">
        <v>6883</v>
      </c>
      <c r="E1870" t="s">
        <v>6884</v>
      </c>
      <c r="G1870" t="s">
        <v>6885</v>
      </c>
      <c r="H1870" t="s">
        <v>84</v>
      </c>
      <c r="I1870" t="s">
        <v>6886</v>
      </c>
    </row>
    <row r="1871" spans="1:9" x14ac:dyDescent="0.25">
      <c r="A1871" t="str">
        <f>"000497287"</f>
        <v>000497287</v>
      </c>
      <c r="B1871" t="s">
        <v>6887</v>
      </c>
      <c r="D1871" t="s">
        <v>6888</v>
      </c>
      <c r="G1871" t="s">
        <v>2251</v>
      </c>
      <c r="H1871" t="s">
        <v>827</v>
      </c>
      <c r="I1871">
        <v>66201</v>
      </c>
    </row>
    <row r="1872" spans="1:9" x14ac:dyDescent="0.25">
      <c r="A1872" t="str">
        <f>"000654978"</f>
        <v>000654978</v>
      </c>
      <c r="B1872" t="s">
        <v>6889</v>
      </c>
      <c r="D1872" t="s">
        <v>6890</v>
      </c>
      <c r="G1872" t="s">
        <v>6891</v>
      </c>
      <c r="H1872" t="s">
        <v>4058</v>
      </c>
      <c r="I1872" t="s">
        <v>6892</v>
      </c>
    </row>
    <row r="1873" spans="1:9" x14ac:dyDescent="0.25">
      <c r="A1873" t="str">
        <f>"000677836"</f>
        <v>000677836</v>
      </c>
      <c r="B1873" t="s">
        <v>6893</v>
      </c>
      <c r="D1873" t="s">
        <v>6894</v>
      </c>
      <c r="E1873" t="s">
        <v>6895</v>
      </c>
      <c r="G1873" t="s">
        <v>64</v>
      </c>
      <c r="H1873" t="s">
        <v>39</v>
      </c>
      <c r="I1873" t="s">
        <v>6896</v>
      </c>
    </row>
    <row r="1874" spans="1:9" x14ac:dyDescent="0.25">
      <c r="A1874" t="str">
        <f>"000709517"</f>
        <v>000709517</v>
      </c>
      <c r="B1874" t="s">
        <v>6897</v>
      </c>
      <c r="D1874" t="s">
        <v>6898</v>
      </c>
      <c r="G1874" t="s">
        <v>6899</v>
      </c>
      <c r="H1874" t="s">
        <v>188</v>
      </c>
      <c r="I1874" t="s">
        <v>6900</v>
      </c>
    </row>
    <row r="1875" spans="1:9" x14ac:dyDescent="0.25">
      <c r="A1875" t="str">
        <f>"000687840"</f>
        <v>000687840</v>
      </c>
      <c r="B1875" t="s">
        <v>6901</v>
      </c>
      <c r="D1875" t="s">
        <v>5670</v>
      </c>
      <c r="G1875" t="s">
        <v>64</v>
      </c>
      <c r="H1875" t="s">
        <v>39</v>
      </c>
      <c r="I1875" t="s">
        <v>6902</v>
      </c>
    </row>
    <row r="1876" spans="1:9" x14ac:dyDescent="0.25">
      <c r="A1876" t="str">
        <f>"000699300"</f>
        <v>000699300</v>
      </c>
      <c r="B1876" t="s">
        <v>6903</v>
      </c>
      <c r="D1876" t="s">
        <v>6904</v>
      </c>
      <c r="G1876" t="s">
        <v>1310</v>
      </c>
      <c r="H1876" t="s">
        <v>13</v>
      </c>
      <c r="I1876" t="s">
        <v>6905</v>
      </c>
    </row>
    <row r="1877" spans="1:9" x14ac:dyDescent="0.25">
      <c r="A1877" t="str">
        <f>"000692335"</f>
        <v>000692335</v>
      </c>
      <c r="B1877" t="s">
        <v>6906</v>
      </c>
      <c r="D1877" t="s">
        <v>6907</v>
      </c>
      <c r="G1877" t="s">
        <v>6908</v>
      </c>
      <c r="H1877" t="s">
        <v>34</v>
      </c>
      <c r="I1877" t="s">
        <v>6909</v>
      </c>
    </row>
    <row r="1878" spans="1:9" x14ac:dyDescent="0.25">
      <c r="A1878" t="str">
        <f>"000699729"</f>
        <v>000699729</v>
      </c>
      <c r="B1878" t="s">
        <v>6910</v>
      </c>
      <c r="D1878" t="s">
        <v>6911</v>
      </c>
      <c r="G1878" t="s">
        <v>64</v>
      </c>
      <c r="H1878" t="s">
        <v>39</v>
      </c>
      <c r="I1878" t="s">
        <v>6912</v>
      </c>
    </row>
    <row r="1879" spans="1:9" x14ac:dyDescent="0.25">
      <c r="A1879" t="str">
        <f>"000705178"</f>
        <v>000705178</v>
      </c>
      <c r="B1879" t="s">
        <v>6913</v>
      </c>
      <c r="D1879" t="s">
        <v>6914</v>
      </c>
      <c r="E1879" t="s">
        <v>6915</v>
      </c>
      <c r="G1879" t="s">
        <v>170</v>
      </c>
      <c r="H1879" t="s">
        <v>171</v>
      </c>
      <c r="I1879" t="s">
        <v>6916</v>
      </c>
    </row>
    <row r="1880" spans="1:9" x14ac:dyDescent="0.25">
      <c r="A1880" t="str">
        <f>"000706909"</f>
        <v>000706909</v>
      </c>
      <c r="B1880" t="s">
        <v>6917</v>
      </c>
      <c r="D1880" t="s">
        <v>6918</v>
      </c>
      <c r="G1880" t="s">
        <v>64</v>
      </c>
      <c r="H1880" t="s">
        <v>39</v>
      </c>
      <c r="I1880" t="s">
        <v>6919</v>
      </c>
    </row>
    <row r="1881" spans="1:9" x14ac:dyDescent="0.25">
      <c r="A1881" t="str">
        <f>"000695461"</f>
        <v>000695461</v>
      </c>
      <c r="B1881" t="s">
        <v>6920</v>
      </c>
      <c r="D1881" t="s">
        <v>6921</v>
      </c>
      <c r="G1881" t="s">
        <v>64</v>
      </c>
      <c r="H1881" t="s">
        <v>39</v>
      </c>
      <c r="I1881" t="s">
        <v>6922</v>
      </c>
    </row>
    <row r="1882" spans="1:9" x14ac:dyDescent="0.25">
      <c r="A1882" t="str">
        <f>"000743755"</f>
        <v>000743755</v>
      </c>
      <c r="B1882" t="s">
        <v>6923</v>
      </c>
      <c r="D1882" t="s">
        <v>6924</v>
      </c>
      <c r="E1882" t="s">
        <v>6925</v>
      </c>
      <c r="G1882" t="s">
        <v>64</v>
      </c>
      <c r="H1882" t="s">
        <v>39</v>
      </c>
      <c r="I1882" t="s">
        <v>6926</v>
      </c>
    </row>
    <row r="1883" spans="1:9" x14ac:dyDescent="0.25">
      <c r="A1883" t="str">
        <f>"000743573"</f>
        <v>000743573</v>
      </c>
      <c r="B1883" t="s">
        <v>6927</v>
      </c>
      <c r="D1883" t="s">
        <v>6928</v>
      </c>
      <c r="E1883" t="s">
        <v>6929</v>
      </c>
      <c r="F1883" t="s">
        <v>6930</v>
      </c>
      <c r="G1883" t="s">
        <v>291</v>
      </c>
      <c r="H1883" t="s">
        <v>182</v>
      </c>
      <c r="I1883" t="s">
        <v>6931</v>
      </c>
    </row>
    <row r="1884" spans="1:9" x14ac:dyDescent="0.25">
      <c r="A1884" t="str">
        <f>"000759218"</f>
        <v>000759218</v>
      </c>
      <c r="B1884" t="s">
        <v>6932</v>
      </c>
      <c r="D1884" t="s">
        <v>6933</v>
      </c>
      <c r="E1884" t="s">
        <v>6934</v>
      </c>
      <c r="G1884" t="s">
        <v>1265</v>
      </c>
      <c r="H1884" t="s">
        <v>182</v>
      </c>
      <c r="I1884" t="s">
        <v>6935</v>
      </c>
    </row>
    <row r="1885" spans="1:9" x14ac:dyDescent="0.25">
      <c r="A1885" t="str">
        <f>"000753415"</f>
        <v>000753415</v>
      </c>
      <c r="B1885" t="s">
        <v>6936</v>
      </c>
      <c r="D1885" t="s">
        <v>6937</v>
      </c>
      <c r="G1885" t="s">
        <v>60</v>
      </c>
      <c r="H1885" t="s">
        <v>28</v>
      </c>
      <c r="I1885" t="s">
        <v>6938</v>
      </c>
    </row>
    <row r="1886" spans="1:9" x14ac:dyDescent="0.25">
      <c r="A1886" t="str">
        <f>"000753334"</f>
        <v>000753334</v>
      </c>
      <c r="B1886" t="s">
        <v>6939</v>
      </c>
      <c r="D1886" t="s">
        <v>6940</v>
      </c>
      <c r="G1886" t="s">
        <v>64</v>
      </c>
      <c r="H1886" t="s">
        <v>39</v>
      </c>
      <c r="I1886" t="s">
        <v>6941</v>
      </c>
    </row>
    <row r="1887" spans="1:9" x14ac:dyDescent="0.25">
      <c r="A1887" t="str">
        <f>"000759679"</f>
        <v>000759679</v>
      </c>
      <c r="B1887" t="s">
        <v>6942</v>
      </c>
      <c r="D1887" t="s">
        <v>6943</v>
      </c>
      <c r="G1887" t="s">
        <v>6944</v>
      </c>
      <c r="H1887" t="s">
        <v>39</v>
      </c>
      <c r="I1887" t="s">
        <v>6945</v>
      </c>
    </row>
    <row r="1888" spans="1:9" x14ac:dyDescent="0.25">
      <c r="A1888" t="str">
        <f>"000747566"</f>
        <v>000747566</v>
      </c>
      <c r="B1888" t="s">
        <v>6946</v>
      </c>
      <c r="D1888" t="s">
        <v>6947</v>
      </c>
      <c r="G1888" t="s">
        <v>6948</v>
      </c>
      <c r="H1888" t="s">
        <v>34</v>
      </c>
      <c r="I1888" t="s">
        <v>6949</v>
      </c>
    </row>
    <row r="1889" spans="1:9" x14ac:dyDescent="0.25">
      <c r="A1889" t="str">
        <f>"000770299"</f>
        <v>000770299</v>
      </c>
      <c r="B1889" t="s">
        <v>6950</v>
      </c>
      <c r="D1889" t="s">
        <v>6951</v>
      </c>
      <c r="E1889" t="s">
        <v>6952</v>
      </c>
      <c r="G1889" t="s">
        <v>2564</v>
      </c>
      <c r="H1889" t="s">
        <v>84</v>
      </c>
      <c r="I1889" t="s">
        <v>6953</v>
      </c>
    </row>
    <row r="1890" spans="1:9" x14ac:dyDescent="0.25">
      <c r="A1890" t="str">
        <f>"000747461"</f>
        <v>000747461</v>
      </c>
      <c r="B1890" t="s">
        <v>6954</v>
      </c>
      <c r="D1890" t="s">
        <v>6955</v>
      </c>
      <c r="G1890" t="s">
        <v>653</v>
      </c>
      <c r="H1890" t="s">
        <v>51</v>
      </c>
      <c r="I1890" t="s">
        <v>6956</v>
      </c>
    </row>
    <row r="1891" spans="1:9" x14ac:dyDescent="0.25">
      <c r="A1891" t="str">
        <f>"000751648"</f>
        <v>000751648</v>
      </c>
      <c r="B1891" t="s">
        <v>6957</v>
      </c>
      <c r="D1891" t="s">
        <v>6958</v>
      </c>
      <c r="G1891" t="s">
        <v>60</v>
      </c>
      <c r="H1891" t="s">
        <v>28</v>
      </c>
      <c r="I1891" t="s">
        <v>6959</v>
      </c>
    </row>
    <row r="1892" spans="1:9" x14ac:dyDescent="0.25">
      <c r="A1892" t="str">
        <f>"000783232"</f>
        <v>000783232</v>
      </c>
      <c r="B1892" t="s">
        <v>6960</v>
      </c>
      <c r="D1892" t="s">
        <v>6961</v>
      </c>
      <c r="E1892" t="s">
        <v>6962</v>
      </c>
      <c r="G1892" t="s">
        <v>6963</v>
      </c>
      <c r="H1892" t="s">
        <v>39</v>
      </c>
      <c r="I1892" t="s">
        <v>6964</v>
      </c>
    </row>
    <row r="1893" spans="1:9" x14ac:dyDescent="0.25">
      <c r="A1893" t="str">
        <f>"000792828"</f>
        <v>000792828</v>
      </c>
      <c r="B1893" t="s">
        <v>6965</v>
      </c>
      <c r="D1893" t="s">
        <v>6966</v>
      </c>
      <c r="G1893" t="s">
        <v>6967</v>
      </c>
      <c r="H1893" t="s">
        <v>28</v>
      </c>
      <c r="I1893" t="s">
        <v>6968</v>
      </c>
    </row>
    <row r="1894" spans="1:9" x14ac:dyDescent="0.25">
      <c r="A1894" t="str">
        <f>"000823876"</f>
        <v>000823876</v>
      </c>
      <c r="B1894" t="s">
        <v>6969</v>
      </c>
      <c r="D1894" t="s">
        <v>6970</v>
      </c>
      <c r="G1894" t="s">
        <v>493</v>
      </c>
      <c r="H1894" t="s">
        <v>39</v>
      </c>
      <c r="I1894" t="s">
        <v>6971</v>
      </c>
    </row>
    <row r="1895" spans="1:9" x14ac:dyDescent="0.25">
      <c r="A1895" t="str">
        <f>"000792328"</f>
        <v>000792328</v>
      </c>
      <c r="B1895" t="s">
        <v>6972</v>
      </c>
      <c r="D1895" t="s">
        <v>6973</v>
      </c>
      <c r="G1895" t="s">
        <v>3729</v>
      </c>
      <c r="H1895" t="s">
        <v>1012</v>
      </c>
      <c r="I1895" t="s">
        <v>6974</v>
      </c>
    </row>
    <row r="1896" spans="1:9" x14ac:dyDescent="0.25">
      <c r="A1896" t="str">
        <f>"000797277"</f>
        <v>000797277</v>
      </c>
      <c r="B1896" t="s">
        <v>6975</v>
      </c>
      <c r="D1896" t="s">
        <v>6976</v>
      </c>
      <c r="G1896" t="s">
        <v>6977</v>
      </c>
      <c r="H1896" t="s">
        <v>39</v>
      </c>
      <c r="I1896" t="s">
        <v>6978</v>
      </c>
    </row>
    <row r="1897" spans="1:9" x14ac:dyDescent="0.25">
      <c r="A1897" t="str">
        <f>"000824081"</f>
        <v>000824081</v>
      </c>
      <c r="B1897" t="s">
        <v>6979</v>
      </c>
      <c r="D1897" t="s">
        <v>6980</v>
      </c>
      <c r="G1897" t="s">
        <v>130</v>
      </c>
      <c r="H1897" t="s">
        <v>131</v>
      </c>
      <c r="I1897" t="s">
        <v>6981</v>
      </c>
    </row>
    <row r="1898" spans="1:9" x14ac:dyDescent="0.25">
      <c r="A1898" t="str">
        <f>"000852458"</f>
        <v>000852458</v>
      </c>
      <c r="B1898" t="s">
        <v>6982</v>
      </c>
      <c r="D1898" t="s">
        <v>6983</v>
      </c>
      <c r="G1898" t="s">
        <v>74</v>
      </c>
      <c r="H1898" t="s">
        <v>75</v>
      </c>
      <c r="I1898" t="s">
        <v>6984</v>
      </c>
    </row>
    <row r="1899" spans="1:9" x14ac:dyDescent="0.25">
      <c r="A1899" t="str">
        <f>"000874551"</f>
        <v>000874551</v>
      </c>
      <c r="B1899" t="s">
        <v>6985</v>
      </c>
      <c r="D1899" t="s">
        <v>6986</v>
      </c>
      <c r="G1899" t="s">
        <v>6987</v>
      </c>
      <c r="H1899" t="s">
        <v>1958</v>
      </c>
      <c r="I1899" t="s">
        <v>6988</v>
      </c>
    </row>
    <row r="1900" spans="1:9" x14ac:dyDescent="0.25">
      <c r="A1900" t="str">
        <f>"000896339"</f>
        <v>000896339</v>
      </c>
      <c r="B1900" t="s">
        <v>6989</v>
      </c>
      <c r="D1900" t="s">
        <v>6990</v>
      </c>
      <c r="E1900" t="s">
        <v>6991</v>
      </c>
      <c r="G1900" t="s">
        <v>566</v>
      </c>
      <c r="I1900" t="s">
        <v>6992</v>
      </c>
    </row>
    <row r="1901" spans="1:9" x14ac:dyDescent="0.25">
      <c r="A1901" t="str">
        <f>"000914612"</f>
        <v>000914612</v>
      </c>
      <c r="B1901" t="s">
        <v>6993</v>
      </c>
      <c r="D1901" t="s">
        <v>6994</v>
      </c>
      <c r="G1901" t="s">
        <v>64</v>
      </c>
      <c r="H1901" t="s">
        <v>39</v>
      </c>
      <c r="I1901" t="s">
        <v>6995</v>
      </c>
    </row>
    <row r="1902" spans="1:9" x14ac:dyDescent="0.25">
      <c r="A1902" t="str">
        <f>"000912198"</f>
        <v>000912198</v>
      </c>
      <c r="B1902" t="s">
        <v>6996</v>
      </c>
      <c r="D1902" t="s">
        <v>6997</v>
      </c>
      <c r="E1902" t="s">
        <v>6998</v>
      </c>
      <c r="G1902" t="s">
        <v>64</v>
      </c>
      <c r="H1902" t="s">
        <v>39</v>
      </c>
      <c r="I1902" t="s">
        <v>6999</v>
      </c>
    </row>
    <row r="1903" spans="1:9" x14ac:dyDescent="0.25">
      <c r="A1903" t="str">
        <f>"000910658"</f>
        <v>000910658</v>
      </c>
      <c r="B1903" t="s">
        <v>7000</v>
      </c>
      <c r="D1903" t="s">
        <v>7001</v>
      </c>
      <c r="G1903" t="s">
        <v>1305</v>
      </c>
      <c r="H1903" t="s">
        <v>131</v>
      </c>
      <c r="I1903" t="s">
        <v>7002</v>
      </c>
    </row>
    <row r="1904" spans="1:9" x14ac:dyDescent="0.25">
      <c r="A1904" t="str">
        <f>"000926161"</f>
        <v>000926161</v>
      </c>
      <c r="B1904" t="s">
        <v>7003</v>
      </c>
      <c r="D1904" t="s">
        <v>7004</v>
      </c>
      <c r="G1904" t="s">
        <v>291</v>
      </c>
      <c r="H1904" t="s">
        <v>182</v>
      </c>
      <c r="I1904" t="s">
        <v>7005</v>
      </c>
    </row>
    <row r="1905" spans="1:9" x14ac:dyDescent="0.25">
      <c r="A1905" t="str">
        <f>"000949233"</f>
        <v>000949233</v>
      </c>
      <c r="B1905" t="s">
        <v>7006</v>
      </c>
      <c r="D1905" t="s">
        <v>7007</v>
      </c>
      <c r="G1905" t="s">
        <v>7008</v>
      </c>
      <c r="H1905" t="s">
        <v>182</v>
      </c>
      <c r="I1905" t="s">
        <v>7009</v>
      </c>
    </row>
    <row r="1906" spans="1:9" x14ac:dyDescent="0.25">
      <c r="A1906" t="str">
        <f>"001028114"</f>
        <v>001028114</v>
      </c>
      <c r="B1906" t="s">
        <v>7010</v>
      </c>
      <c r="D1906" t="s">
        <v>7011</v>
      </c>
      <c r="G1906" t="s">
        <v>64</v>
      </c>
      <c r="H1906" t="s">
        <v>39</v>
      </c>
      <c r="I1906" t="s">
        <v>7012</v>
      </c>
    </row>
    <row r="1907" spans="1:9" x14ac:dyDescent="0.25">
      <c r="A1907" t="str">
        <f>"001000464"</f>
        <v>001000464</v>
      </c>
      <c r="B1907" t="s">
        <v>7013</v>
      </c>
      <c r="D1907" t="s">
        <v>7014</v>
      </c>
      <c r="G1907" t="s">
        <v>7015</v>
      </c>
      <c r="H1907" t="s">
        <v>540</v>
      </c>
      <c r="I1907" t="s">
        <v>7016</v>
      </c>
    </row>
    <row r="1908" spans="1:9" x14ac:dyDescent="0.25">
      <c r="A1908" t="str">
        <f>"000967835"</f>
        <v>000967835</v>
      </c>
      <c r="B1908" t="s">
        <v>7017</v>
      </c>
      <c r="D1908" t="s">
        <v>7018</v>
      </c>
      <c r="E1908" t="s">
        <v>1356</v>
      </c>
      <c r="G1908" t="s">
        <v>64</v>
      </c>
      <c r="H1908" t="s">
        <v>39</v>
      </c>
      <c r="I1908" t="s">
        <v>7019</v>
      </c>
    </row>
    <row r="1909" spans="1:9" x14ac:dyDescent="0.25">
      <c r="A1909" t="str">
        <f>"000989600"</f>
        <v>000989600</v>
      </c>
      <c r="B1909" t="s">
        <v>7020</v>
      </c>
      <c r="D1909" t="s">
        <v>7021</v>
      </c>
      <c r="G1909" t="s">
        <v>165</v>
      </c>
      <c r="H1909" t="s">
        <v>166</v>
      </c>
      <c r="I1909" t="s">
        <v>7022</v>
      </c>
    </row>
    <row r="1910" spans="1:9" x14ac:dyDescent="0.25">
      <c r="A1910" t="str">
        <f>"001051757"</f>
        <v>001051757</v>
      </c>
      <c r="B1910" t="s">
        <v>7023</v>
      </c>
      <c r="D1910" t="s">
        <v>7024</v>
      </c>
      <c r="G1910" t="s">
        <v>60</v>
      </c>
      <c r="H1910" t="s">
        <v>28</v>
      </c>
      <c r="I1910" t="s">
        <v>7025</v>
      </c>
    </row>
    <row r="1911" spans="1:9" x14ac:dyDescent="0.25">
      <c r="A1911" t="str">
        <f>"000953758"</f>
        <v>000953758</v>
      </c>
      <c r="B1911" t="s">
        <v>7026</v>
      </c>
      <c r="D1911" t="s">
        <v>7027</v>
      </c>
      <c r="G1911" t="s">
        <v>740</v>
      </c>
      <c r="H1911" t="s">
        <v>84</v>
      </c>
      <c r="I1911" t="s">
        <v>7028</v>
      </c>
    </row>
    <row r="1912" spans="1:9" x14ac:dyDescent="0.25">
      <c r="A1912" t="str">
        <f>"000992080"</f>
        <v>000992080</v>
      </c>
      <c r="B1912" t="s">
        <v>7029</v>
      </c>
      <c r="D1912" t="s">
        <v>7030</v>
      </c>
      <c r="E1912" t="s">
        <v>7031</v>
      </c>
      <c r="G1912" t="s">
        <v>323</v>
      </c>
      <c r="H1912" t="s">
        <v>84</v>
      </c>
      <c r="I1912" t="s">
        <v>7032</v>
      </c>
    </row>
    <row r="1913" spans="1:9" x14ac:dyDescent="0.25">
      <c r="A1913" t="str">
        <f>"000997289"</f>
        <v>000997289</v>
      </c>
      <c r="B1913" t="s">
        <v>7033</v>
      </c>
      <c r="D1913" t="s">
        <v>7034</v>
      </c>
      <c r="G1913" t="s">
        <v>7035</v>
      </c>
      <c r="H1913" t="s">
        <v>13</v>
      </c>
      <c r="I1913" t="s">
        <v>7036</v>
      </c>
    </row>
    <row r="1914" spans="1:9" x14ac:dyDescent="0.25">
      <c r="A1914" t="str">
        <f>"001043523"</f>
        <v>001043523</v>
      </c>
      <c r="B1914" t="s">
        <v>7037</v>
      </c>
      <c r="D1914" t="s">
        <v>7038</v>
      </c>
      <c r="E1914" t="s">
        <v>7039</v>
      </c>
      <c r="G1914" t="s">
        <v>6676</v>
      </c>
      <c r="H1914" t="s">
        <v>131</v>
      </c>
      <c r="I1914" t="s">
        <v>7040</v>
      </c>
    </row>
    <row r="1915" spans="1:9" x14ac:dyDescent="0.25">
      <c r="A1915" t="str">
        <f>"001035524"</f>
        <v>001035524</v>
      </c>
      <c r="B1915" t="s">
        <v>7041</v>
      </c>
      <c r="D1915" t="s">
        <v>7042</v>
      </c>
      <c r="E1915" t="s">
        <v>7043</v>
      </c>
      <c r="G1915" t="s">
        <v>3280</v>
      </c>
      <c r="I1915">
        <v>695006</v>
      </c>
    </row>
    <row r="1916" spans="1:9" x14ac:dyDescent="0.25">
      <c r="A1916" t="str">
        <f>"001016787"</f>
        <v>001016787</v>
      </c>
      <c r="B1916" t="s">
        <v>7044</v>
      </c>
      <c r="D1916" t="s">
        <v>7045</v>
      </c>
      <c r="G1916" t="s">
        <v>956</v>
      </c>
      <c r="H1916" t="s">
        <v>957</v>
      </c>
      <c r="I1916" t="s">
        <v>7046</v>
      </c>
    </row>
    <row r="1917" spans="1:9" x14ac:dyDescent="0.25">
      <c r="A1917" t="str">
        <f>"001041502"</f>
        <v>001041502</v>
      </c>
      <c r="B1917" t="s">
        <v>7047</v>
      </c>
      <c r="D1917" t="s">
        <v>7048</v>
      </c>
      <c r="G1917" t="s">
        <v>64</v>
      </c>
      <c r="H1917" t="s">
        <v>39</v>
      </c>
      <c r="I1917" t="s">
        <v>7049</v>
      </c>
    </row>
    <row r="1918" spans="1:9" x14ac:dyDescent="0.25">
      <c r="A1918" t="str">
        <f>"001016163"</f>
        <v>001016163</v>
      </c>
      <c r="B1918" t="s">
        <v>7050</v>
      </c>
      <c r="D1918" t="s">
        <v>7051</v>
      </c>
      <c r="G1918" t="s">
        <v>7052</v>
      </c>
      <c r="H1918" t="s">
        <v>39</v>
      </c>
      <c r="I1918" t="s">
        <v>7053</v>
      </c>
    </row>
    <row r="1919" spans="1:9" x14ac:dyDescent="0.25">
      <c r="A1919" t="str">
        <f>"001016208"</f>
        <v>001016208</v>
      </c>
      <c r="B1919" t="s">
        <v>7054</v>
      </c>
      <c r="D1919" t="s">
        <v>7055</v>
      </c>
      <c r="G1919" t="s">
        <v>7056</v>
      </c>
      <c r="H1919" t="s">
        <v>477</v>
      </c>
      <c r="I1919" t="s">
        <v>7057</v>
      </c>
    </row>
    <row r="1920" spans="1:9" x14ac:dyDescent="0.25">
      <c r="A1920" t="str">
        <f>"001039367"</f>
        <v>001039367</v>
      </c>
      <c r="B1920" t="s">
        <v>7058</v>
      </c>
      <c r="D1920" t="s">
        <v>7059</v>
      </c>
      <c r="G1920" t="s">
        <v>64</v>
      </c>
      <c r="H1920" t="s">
        <v>39</v>
      </c>
      <c r="I1920" t="s">
        <v>7060</v>
      </c>
    </row>
    <row r="1921" spans="1:9" x14ac:dyDescent="0.25">
      <c r="A1921" t="str">
        <f>"001011991"</f>
        <v>001011991</v>
      </c>
      <c r="B1921" t="s">
        <v>7061</v>
      </c>
      <c r="D1921" t="s">
        <v>7062</v>
      </c>
      <c r="G1921" t="s">
        <v>50</v>
      </c>
      <c r="H1921" t="s">
        <v>51</v>
      </c>
      <c r="I1921" t="s">
        <v>7063</v>
      </c>
    </row>
    <row r="1922" spans="1:9" x14ac:dyDescent="0.25">
      <c r="A1922" t="str">
        <f>"001037730"</f>
        <v>001037730</v>
      </c>
      <c r="B1922" t="s">
        <v>7064</v>
      </c>
      <c r="D1922" t="s">
        <v>7065</v>
      </c>
      <c r="G1922" t="s">
        <v>291</v>
      </c>
      <c r="H1922" t="s">
        <v>182</v>
      </c>
      <c r="I1922" t="s">
        <v>7066</v>
      </c>
    </row>
    <row r="1923" spans="1:9" x14ac:dyDescent="0.25">
      <c r="A1923" t="str">
        <f>"001037739"</f>
        <v>001037739</v>
      </c>
      <c r="B1923" t="s">
        <v>7067</v>
      </c>
      <c r="D1923" t="s">
        <v>7068</v>
      </c>
      <c r="E1923" t="s">
        <v>695</v>
      </c>
      <c r="G1923" t="s">
        <v>6259</v>
      </c>
      <c r="H1923" t="s">
        <v>28</v>
      </c>
      <c r="I1923" t="s">
        <v>7069</v>
      </c>
    </row>
    <row r="1924" spans="1:9" x14ac:dyDescent="0.25">
      <c r="A1924" t="str">
        <f>"000997926"</f>
        <v>000997926</v>
      </c>
      <c r="B1924" t="s">
        <v>7070</v>
      </c>
      <c r="D1924" t="s">
        <v>7071</v>
      </c>
      <c r="G1924" t="s">
        <v>2027</v>
      </c>
      <c r="H1924" t="s">
        <v>84</v>
      </c>
      <c r="I1924" t="s">
        <v>7072</v>
      </c>
    </row>
    <row r="1925" spans="1:9" x14ac:dyDescent="0.25">
      <c r="A1925" t="str">
        <f>"001025566"</f>
        <v>001025566</v>
      </c>
      <c r="B1925" t="s">
        <v>7073</v>
      </c>
      <c r="D1925" t="s">
        <v>7074</v>
      </c>
      <c r="G1925" t="s">
        <v>696</v>
      </c>
      <c r="H1925" t="s">
        <v>28</v>
      </c>
      <c r="I1925" t="s">
        <v>7075</v>
      </c>
    </row>
    <row r="1926" spans="1:9" x14ac:dyDescent="0.25">
      <c r="A1926" t="str">
        <f>"001025573"</f>
        <v>001025573</v>
      </c>
      <c r="B1926" t="s">
        <v>7076</v>
      </c>
      <c r="D1926" t="s">
        <v>7077</v>
      </c>
      <c r="G1926" t="s">
        <v>7078</v>
      </c>
      <c r="H1926" t="s">
        <v>34</v>
      </c>
      <c r="I1926" t="s">
        <v>7079</v>
      </c>
    </row>
    <row r="1927" spans="1:9" x14ac:dyDescent="0.25">
      <c r="A1927" t="str">
        <f>"001034542"</f>
        <v>001034542</v>
      </c>
      <c r="B1927" t="s">
        <v>7080</v>
      </c>
      <c r="D1927" t="s">
        <v>7081</v>
      </c>
      <c r="G1927" t="s">
        <v>316</v>
      </c>
      <c r="H1927" t="s">
        <v>39</v>
      </c>
      <c r="I1927" t="s">
        <v>7082</v>
      </c>
    </row>
    <row r="1928" spans="1:9" x14ac:dyDescent="0.25">
      <c r="A1928" t="str">
        <f>"001034700"</f>
        <v>001034700</v>
      </c>
      <c r="B1928" t="s">
        <v>7083</v>
      </c>
      <c r="D1928" t="s">
        <v>7084</v>
      </c>
      <c r="G1928" t="s">
        <v>1045</v>
      </c>
      <c r="H1928" t="s">
        <v>161</v>
      </c>
      <c r="I1928" t="s">
        <v>7085</v>
      </c>
    </row>
    <row r="1929" spans="1:9" x14ac:dyDescent="0.25">
      <c r="A1929" t="str">
        <f>"001053965"</f>
        <v>001053965</v>
      </c>
      <c r="B1929" t="s">
        <v>7086</v>
      </c>
      <c r="D1929" t="s">
        <v>7087</v>
      </c>
      <c r="G1929" t="s">
        <v>64</v>
      </c>
      <c r="H1929" t="s">
        <v>39</v>
      </c>
      <c r="I1929" t="s">
        <v>7088</v>
      </c>
    </row>
    <row r="1930" spans="1:9" x14ac:dyDescent="0.25">
      <c r="A1930" t="str">
        <f>"001051050"</f>
        <v>001051050</v>
      </c>
      <c r="B1930" t="s">
        <v>7089</v>
      </c>
      <c r="D1930" t="s">
        <v>7090</v>
      </c>
      <c r="G1930" t="s">
        <v>2564</v>
      </c>
      <c r="H1930" t="s">
        <v>166</v>
      </c>
      <c r="I1930" t="s">
        <v>7091</v>
      </c>
    </row>
    <row r="1931" spans="1:9" x14ac:dyDescent="0.25">
      <c r="A1931" t="str">
        <f>"001044675"</f>
        <v>001044675</v>
      </c>
      <c r="B1931" t="s">
        <v>7092</v>
      </c>
      <c r="D1931" t="s">
        <v>7093</v>
      </c>
      <c r="G1931" t="s">
        <v>7094</v>
      </c>
      <c r="H1931" t="s">
        <v>546</v>
      </c>
      <c r="I1931" t="s">
        <v>7095</v>
      </c>
    </row>
    <row r="1932" spans="1:9" x14ac:dyDescent="0.25">
      <c r="A1932" t="str">
        <f>"001009879"</f>
        <v>001009879</v>
      </c>
      <c r="B1932" t="s">
        <v>7096</v>
      </c>
      <c r="D1932" t="s">
        <v>7097</v>
      </c>
      <c r="G1932" t="s">
        <v>7098</v>
      </c>
      <c r="H1932" t="s">
        <v>263</v>
      </c>
      <c r="I1932" t="s">
        <v>7099</v>
      </c>
    </row>
    <row r="1933" spans="1:9" x14ac:dyDescent="0.25">
      <c r="A1933" t="str">
        <f>"001003344"</f>
        <v>001003344</v>
      </c>
      <c r="B1933" t="s">
        <v>7100</v>
      </c>
      <c r="D1933" t="s">
        <v>7101</v>
      </c>
      <c r="G1933" t="s">
        <v>64</v>
      </c>
      <c r="H1933" t="s">
        <v>39</v>
      </c>
      <c r="I1933" t="s">
        <v>7102</v>
      </c>
    </row>
    <row r="1934" spans="1:9" x14ac:dyDescent="0.25">
      <c r="A1934" t="str">
        <f>"001040084"</f>
        <v>001040084</v>
      </c>
      <c r="B1934" t="s">
        <v>7103</v>
      </c>
      <c r="D1934" t="s">
        <v>7104</v>
      </c>
      <c r="G1934" t="s">
        <v>6320</v>
      </c>
      <c r="I1934">
        <v>110014</v>
      </c>
    </row>
    <row r="1935" spans="1:9" x14ac:dyDescent="0.25">
      <c r="A1935" t="str">
        <f>"001020920"</f>
        <v>001020920</v>
      </c>
      <c r="B1935" t="s">
        <v>7105</v>
      </c>
      <c r="D1935" t="s">
        <v>7106</v>
      </c>
      <c r="G1935" t="s">
        <v>7107</v>
      </c>
      <c r="H1935" t="s">
        <v>809</v>
      </c>
      <c r="I1935" t="s">
        <v>7108</v>
      </c>
    </row>
    <row r="1936" spans="1:9" x14ac:dyDescent="0.25">
      <c r="A1936" t="str">
        <f>"001052712"</f>
        <v>001052712</v>
      </c>
      <c r="B1936" t="s">
        <v>7109</v>
      </c>
      <c r="D1936" t="s">
        <v>7110</v>
      </c>
      <c r="E1936" t="s">
        <v>7111</v>
      </c>
      <c r="G1936" t="s">
        <v>2027</v>
      </c>
      <c r="H1936" t="s">
        <v>84</v>
      </c>
      <c r="I1936" t="s">
        <v>7112</v>
      </c>
    </row>
    <row r="1937" spans="1:9" x14ac:dyDescent="0.25">
      <c r="A1937" t="str">
        <f>"001038117"</f>
        <v>001038117</v>
      </c>
      <c r="B1937" t="s">
        <v>7113</v>
      </c>
      <c r="D1937" t="s">
        <v>7114</v>
      </c>
      <c r="G1937" t="s">
        <v>64</v>
      </c>
      <c r="H1937" t="s">
        <v>39</v>
      </c>
      <c r="I1937" t="s">
        <v>7115</v>
      </c>
    </row>
    <row r="1938" spans="1:9" x14ac:dyDescent="0.25">
      <c r="A1938" t="str">
        <f>"000978382"</f>
        <v>000978382</v>
      </c>
      <c r="B1938" t="s">
        <v>7116</v>
      </c>
      <c r="D1938" t="s">
        <v>7117</v>
      </c>
      <c r="G1938" t="s">
        <v>7118</v>
      </c>
      <c r="I1938">
        <v>67400</v>
      </c>
    </row>
    <row r="1939" spans="1:9" x14ac:dyDescent="0.25">
      <c r="A1939" t="str">
        <f>"001019089"</f>
        <v>001019089</v>
      </c>
      <c r="B1939" t="s">
        <v>7119</v>
      </c>
      <c r="D1939" t="s">
        <v>7120</v>
      </c>
      <c r="G1939" t="s">
        <v>678</v>
      </c>
      <c r="H1939" t="s">
        <v>28</v>
      </c>
      <c r="I1939" t="s">
        <v>7121</v>
      </c>
    </row>
    <row r="1940" spans="1:9" x14ac:dyDescent="0.25">
      <c r="A1940" t="str">
        <f>"000999676"</f>
        <v>000999676</v>
      </c>
      <c r="B1940" t="s">
        <v>7122</v>
      </c>
      <c r="D1940" t="s">
        <v>7123</v>
      </c>
      <c r="E1940" t="s">
        <v>7124</v>
      </c>
      <c r="G1940" t="s">
        <v>1580</v>
      </c>
      <c r="H1940" t="s">
        <v>39</v>
      </c>
      <c r="I1940" t="s">
        <v>7125</v>
      </c>
    </row>
    <row r="1941" spans="1:9" x14ac:dyDescent="0.25">
      <c r="A1941" t="str">
        <f>"001046666"</f>
        <v>001046666</v>
      </c>
      <c r="B1941" t="s">
        <v>7126</v>
      </c>
      <c r="D1941" t="s">
        <v>7127</v>
      </c>
      <c r="G1941" t="s">
        <v>678</v>
      </c>
      <c r="H1941" t="s">
        <v>28</v>
      </c>
      <c r="I1941" t="s">
        <v>7128</v>
      </c>
    </row>
    <row r="1942" spans="1:9" x14ac:dyDescent="0.25">
      <c r="A1942" t="str">
        <f>"000994132"</f>
        <v>000994132</v>
      </c>
      <c r="B1942" t="s">
        <v>7129</v>
      </c>
      <c r="D1942" t="s">
        <v>7130</v>
      </c>
      <c r="G1942" t="s">
        <v>582</v>
      </c>
      <c r="H1942" t="s">
        <v>540</v>
      </c>
      <c r="I1942" t="s">
        <v>7131</v>
      </c>
    </row>
    <row r="1943" spans="1:9" x14ac:dyDescent="0.25">
      <c r="A1943" t="str">
        <f>"001010362"</f>
        <v>001010362</v>
      </c>
      <c r="B1943" t="s">
        <v>7132</v>
      </c>
      <c r="D1943" t="s">
        <v>7133</v>
      </c>
      <c r="G1943" t="s">
        <v>7134</v>
      </c>
      <c r="H1943" t="s">
        <v>188</v>
      </c>
      <c r="I1943" t="s">
        <v>7135</v>
      </c>
    </row>
    <row r="1944" spans="1:9" x14ac:dyDescent="0.25">
      <c r="A1944" t="str">
        <f>"000998022"</f>
        <v>000998022</v>
      </c>
      <c r="B1944" t="s">
        <v>7136</v>
      </c>
      <c r="D1944" t="s">
        <v>7137</v>
      </c>
      <c r="G1944" t="s">
        <v>7138</v>
      </c>
      <c r="H1944" t="s">
        <v>221</v>
      </c>
      <c r="I1944" t="s">
        <v>7139</v>
      </c>
    </row>
    <row r="1945" spans="1:9" x14ac:dyDescent="0.25">
      <c r="A1945" t="str">
        <f>"001001083"</f>
        <v>001001083</v>
      </c>
      <c r="B1945" t="s">
        <v>7140</v>
      </c>
      <c r="D1945" t="s">
        <v>7141</v>
      </c>
      <c r="G1945" t="s">
        <v>7142</v>
      </c>
      <c r="H1945" t="s">
        <v>221</v>
      </c>
      <c r="I1945" t="s">
        <v>7143</v>
      </c>
    </row>
    <row r="1946" spans="1:9" x14ac:dyDescent="0.25">
      <c r="A1946" t="str">
        <f>"001001087"</f>
        <v>001001087</v>
      </c>
      <c r="B1946" t="s">
        <v>7144</v>
      </c>
      <c r="D1946" t="s">
        <v>7145</v>
      </c>
      <c r="G1946" t="s">
        <v>1591</v>
      </c>
      <c r="H1946" t="s">
        <v>23</v>
      </c>
      <c r="I1946" t="s">
        <v>7146</v>
      </c>
    </row>
    <row r="1947" spans="1:9" x14ac:dyDescent="0.25">
      <c r="A1947" t="str">
        <f>"001053195"</f>
        <v>001053195</v>
      </c>
      <c r="B1947" t="s">
        <v>7147</v>
      </c>
      <c r="D1947" t="s">
        <v>7148</v>
      </c>
      <c r="G1947" t="s">
        <v>90</v>
      </c>
      <c r="H1947" t="s">
        <v>39</v>
      </c>
      <c r="I1947">
        <v>64105</v>
      </c>
    </row>
    <row r="1948" spans="1:9" x14ac:dyDescent="0.25">
      <c r="A1948" t="str">
        <f>"000970517"</f>
        <v>000970517</v>
      </c>
      <c r="B1948" t="s">
        <v>7149</v>
      </c>
      <c r="D1948" t="s">
        <v>7150</v>
      </c>
      <c r="G1948" t="s">
        <v>242</v>
      </c>
      <c r="H1948" t="s">
        <v>161</v>
      </c>
      <c r="I1948" t="s">
        <v>7151</v>
      </c>
    </row>
    <row r="1949" spans="1:9" x14ac:dyDescent="0.25">
      <c r="A1949" t="str">
        <f>"001053169"</f>
        <v>001053169</v>
      </c>
      <c r="B1949" t="s">
        <v>7152</v>
      </c>
      <c r="D1949" t="s">
        <v>7153</v>
      </c>
      <c r="G1949" t="s">
        <v>267</v>
      </c>
      <c r="H1949" t="s">
        <v>39</v>
      </c>
      <c r="I1949" t="s">
        <v>7154</v>
      </c>
    </row>
    <row r="1950" spans="1:9" x14ac:dyDescent="0.25">
      <c r="A1950" t="str">
        <f>"001062703"</f>
        <v>001062703</v>
      </c>
      <c r="B1950" t="s">
        <v>7155</v>
      </c>
      <c r="D1950" t="s">
        <v>7156</v>
      </c>
      <c r="E1950" t="s">
        <v>7157</v>
      </c>
      <c r="G1950" t="s">
        <v>2689</v>
      </c>
      <c r="H1950" t="s">
        <v>28</v>
      </c>
      <c r="I1950" t="s">
        <v>7158</v>
      </c>
    </row>
    <row r="1951" spans="1:9" x14ac:dyDescent="0.25">
      <c r="A1951" t="str">
        <f>"001049085"</f>
        <v>001049085</v>
      </c>
      <c r="B1951" t="s">
        <v>7159</v>
      </c>
      <c r="D1951" t="s">
        <v>7160</v>
      </c>
      <c r="G1951" t="s">
        <v>7161</v>
      </c>
      <c r="H1951" t="s">
        <v>39</v>
      </c>
      <c r="I1951" t="s">
        <v>7162</v>
      </c>
    </row>
    <row r="1952" spans="1:9" x14ac:dyDescent="0.25">
      <c r="A1952" t="str">
        <f>"000953862"</f>
        <v>000953862</v>
      </c>
      <c r="B1952" t="s">
        <v>7163</v>
      </c>
      <c r="D1952" t="s">
        <v>7164</v>
      </c>
      <c r="E1952" t="s">
        <v>7165</v>
      </c>
      <c r="G1952" t="s">
        <v>64</v>
      </c>
      <c r="H1952" t="s">
        <v>39</v>
      </c>
      <c r="I1952" t="s">
        <v>7166</v>
      </c>
    </row>
    <row r="1953" spans="1:9" x14ac:dyDescent="0.25">
      <c r="A1953" t="str">
        <f>"001038322"</f>
        <v>001038322</v>
      </c>
      <c r="B1953" t="s">
        <v>7167</v>
      </c>
      <c r="D1953" t="s">
        <v>7168</v>
      </c>
      <c r="G1953" t="s">
        <v>7169</v>
      </c>
      <c r="H1953" t="s">
        <v>84</v>
      </c>
      <c r="I1953" t="s">
        <v>7170</v>
      </c>
    </row>
    <row r="1954" spans="1:9" x14ac:dyDescent="0.25">
      <c r="A1954" t="str">
        <f>"001026658"</f>
        <v>001026658</v>
      </c>
      <c r="B1954" t="s">
        <v>7171</v>
      </c>
      <c r="D1954" t="s">
        <v>7172</v>
      </c>
      <c r="G1954" t="s">
        <v>64</v>
      </c>
      <c r="H1954" t="s">
        <v>39</v>
      </c>
      <c r="I1954" t="s">
        <v>7173</v>
      </c>
    </row>
    <row r="1955" spans="1:9" x14ac:dyDescent="0.25">
      <c r="A1955" t="str">
        <f>"000987185"</f>
        <v>000987185</v>
      </c>
      <c r="B1955" t="s">
        <v>7174</v>
      </c>
      <c r="D1955" t="s">
        <v>7175</v>
      </c>
      <c r="G1955" t="s">
        <v>550</v>
      </c>
      <c r="H1955" t="s">
        <v>39</v>
      </c>
      <c r="I1955" t="s">
        <v>7176</v>
      </c>
    </row>
    <row r="1956" spans="1:9" x14ac:dyDescent="0.25">
      <c r="A1956" t="str">
        <f>"000987406"</f>
        <v>000987406</v>
      </c>
      <c r="B1956" t="s">
        <v>7177</v>
      </c>
      <c r="D1956" t="s">
        <v>7178</v>
      </c>
      <c r="G1956" t="s">
        <v>64</v>
      </c>
      <c r="H1956" t="s">
        <v>39</v>
      </c>
      <c r="I1956" t="s">
        <v>7179</v>
      </c>
    </row>
    <row r="1957" spans="1:9" x14ac:dyDescent="0.25">
      <c r="A1957" t="str">
        <f>"000953489"</f>
        <v>000953489</v>
      </c>
      <c r="B1957" t="s">
        <v>7180</v>
      </c>
      <c r="D1957" t="s">
        <v>7181</v>
      </c>
      <c r="E1957" t="s">
        <v>7182</v>
      </c>
      <c r="G1957" t="s">
        <v>170</v>
      </c>
      <c r="H1957" t="s">
        <v>171</v>
      </c>
      <c r="I1957" t="s">
        <v>7183</v>
      </c>
    </row>
    <row r="1958" spans="1:9" x14ac:dyDescent="0.25">
      <c r="A1958" t="str">
        <f>"001030092"</f>
        <v>001030092</v>
      </c>
      <c r="B1958" t="s">
        <v>7184</v>
      </c>
      <c r="D1958" t="s">
        <v>7185</v>
      </c>
      <c r="G1958" t="s">
        <v>64</v>
      </c>
      <c r="H1958" t="s">
        <v>39</v>
      </c>
      <c r="I1958" t="s">
        <v>7186</v>
      </c>
    </row>
    <row r="1959" spans="1:9" x14ac:dyDescent="0.25">
      <c r="A1959" t="str">
        <f>"001043576"</f>
        <v>001043576</v>
      </c>
      <c r="B1959" t="s">
        <v>7187</v>
      </c>
      <c r="D1959" t="s">
        <v>7188</v>
      </c>
      <c r="G1959" t="s">
        <v>7189</v>
      </c>
      <c r="H1959" t="s">
        <v>13</v>
      </c>
      <c r="I1959" t="s">
        <v>7190</v>
      </c>
    </row>
    <row r="1960" spans="1:9" x14ac:dyDescent="0.25">
      <c r="A1960" t="str">
        <f>"001063154"</f>
        <v>001063154</v>
      </c>
      <c r="B1960" t="s">
        <v>7191</v>
      </c>
      <c r="D1960" t="s">
        <v>7192</v>
      </c>
      <c r="G1960" t="s">
        <v>64</v>
      </c>
      <c r="H1960" t="s">
        <v>39</v>
      </c>
      <c r="I1960" t="s">
        <v>7193</v>
      </c>
    </row>
    <row r="1961" spans="1:9" x14ac:dyDescent="0.25">
      <c r="A1961" t="str">
        <f>"001060070"</f>
        <v>001060070</v>
      </c>
      <c r="B1961" t="s">
        <v>7194</v>
      </c>
      <c r="D1961" t="s">
        <v>7195</v>
      </c>
      <c r="G1961" t="s">
        <v>165</v>
      </c>
      <c r="H1961" t="s">
        <v>166</v>
      </c>
      <c r="I1961" t="s">
        <v>7196</v>
      </c>
    </row>
    <row r="1962" spans="1:9" x14ac:dyDescent="0.25">
      <c r="A1962" t="str">
        <f>"001060096"</f>
        <v>001060096</v>
      </c>
      <c r="B1962" t="s">
        <v>7197</v>
      </c>
      <c r="D1962" t="s">
        <v>7198</v>
      </c>
      <c r="G1962" t="s">
        <v>64</v>
      </c>
      <c r="H1962" t="s">
        <v>39</v>
      </c>
      <c r="I1962" t="s">
        <v>7199</v>
      </c>
    </row>
    <row r="1963" spans="1:9" x14ac:dyDescent="0.25">
      <c r="A1963" t="str">
        <f>"001055274"</f>
        <v>001055274</v>
      </c>
      <c r="B1963" t="s">
        <v>7200</v>
      </c>
      <c r="D1963" t="s">
        <v>7201</v>
      </c>
      <c r="G1963" t="s">
        <v>898</v>
      </c>
      <c r="H1963" t="s">
        <v>51</v>
      </c>
      <c r="I1963" t="s">
        <v>7202</v>
      </c>
    </row>
    <row r="1964" spans="1:9" x14ac:dyDescent="0.25">
      <c r="A1964" t="str">
        <f>"001071516"</f>
        <v>001071516</v>
      </c>
      <c r="B1964" t="s">
        <v>7203</v>
      </c>
      <c r="D1964" t="s">
        <v>7204</v>
      </c>
      <c r="E1964" t="s">
        <v>7205</v>
      </c>
      <c r="G1964" t="s">
        <v>1211</v>
      </c>
      <c r="H1964" t="s">
        <v>100</v>
      </c>
      <c r="I1964" t="s">
        <v>7206</v>
      </c>
    </row>
    <row r="1965" spans="1:9" x14ac:dyDescent="0.25">
      <c r="A1965" t="str">
        <f>"001076396"</f>
        <v>001076396</v>
      </c>
      <c r="B1965" t="s">
        <v>7207</v>
      </c>
      <c r="D1965" t="s">
        <v>7208</v>
      </c>
      <c r="G1965" t="s">
        <v>64</v>
      </c>
      <c r="H1965" t="s">
        <v>39</v>
      </c>
      <c r="I1965" t="s">
        <v>7209</v>
      </c>
    </row>
    <row r="1966" spans="1:9" x14ac:dyDescent="0.25">
      <c r="A1966" t="str">
        <f>"001048827"</f>
        <v>001048827</v>
      </c>
      <c r="B1966" t="s">
        <v>7210</v>
      </c>
      <c r="D1966" t="s">
        <v>7211</v>
      </c>
      <c r="G1966" t="s">
        <v>64</v>
      </c>
      <c r="H1966" t="s">
        <v>39</v>
      </c>
      <c r="I1966" t="s">
        <v>7212</v>
      </c>
    </row>
    <row r="1967" spans="1:9" x14ac:dyDescent="0.25">
      <c r="A1967" t="str">
        <f>"001070176"</f>
        <v>001070176</v>
      </c>
      <c r="B1967" t="s">
        <v>7213</v>
      </c>
      <c r="D1967" t="s">
        <v>7214</v>
      </c>
      <c r="G1967" t="s">
        <v>64</v>
      </c>
      <c r="H1967" t="s">
        <v>39</v>
      </c>
      <c r="I1967" t="s">
        <v>7215</v>
      </c>
    </row>
    <row r="1968" spans="1:9" x14ac:dyDescent="0.25">
      <c r="A1968" t="str">
        <f>"001069557"</f>
        <v>001069557</v>
      </c>
      <c r="B1968" t="s">
        <v>7216</v>
      </c>
      <c r="D1968" t="s">
        <v>7217</v>
      </c>
      <c r="G1968" t="s">
        <v>165</v>
      </c>
      <c r="H1968" t="s">
        <v>166</v>
      </c>
      <c r="I1968" t="s">
        <v>7218</v>
      </c>
    </row>
    <row r="1969" spans="1:9" x14ac:dyDescent="0.25">
      <c r="A1969" t="str">
        <f>"001080454"</f>
        <v>001080454</v>
      </c>
      <c r="B1969" t="s">
        <v>7219</v>
      </c>
      <c r="D1969" t="s">
        <v>7220</v>
      </c>
      <c r="G1969" t="s">
        <v>1840</v>
      </c>
      <c r="I1969">
        <v>91113</v>
      </c>
    </row>
    <row r="1970" spans="1:9" x14ac:dyDescent="0.25">
      <c r="A1970" t="str">
        <f>"001058891"</f>
        <v>001058891</v>
      </c>
      <c r="B1970" t="s">
        <v>7221</v>
      </c>
      <c r="D1970" t="s">
        <v>7222</v>
      </c>
      <c r="E1970" t="s">
        <v>7223</v>
      </c>
      <c r="G1970" t="s">
        <v>7224</v>
      </c>
      <c r="H1970" t="s">
        <v>477</v>
      </c>
      <c r="I1970" t="s">
        <v>7225</v>
      </c>
    </row>
    <row r="1971" spans="1:9" x14ac:dyDescent="0.25">
      <c r="A1971" t="str">
        <f>"001069383"</f>
        <v>001069383</v>
      </c>
      <c r="B1971" t="s">
        <v>7226</v>
      </c>
      <c r="D1971" t="s">
        <v>7227</v>
      </c>
      <c r="E1971" t="s">
        <v>7228</v>
      </c>
      <c r="G1971" t="s">
        <v>7229</v>
      </c>
      <c r="H1971" t="s">
        <v>28</v>
      </c>
      <c r="I1971" t="s">
        <v>7230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rpt_paid_vendor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Prange</dc:creator>
  <cp:lastModifiedBy>Andrew Chism</cp:lastModifiedBy>
  <dcterms:created xsi:type="dcterms:W3CDTF">2018-12-17T17:14:34Z</dcterms:created>
  <dcterms:modified xsi:type="dcterms:W3CDTF">2018-12-17T17:26:30Z</dcterms:modified>
</cp:coreProperties>
</file>